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defaultThemeVersion="124226"/>
  <mc:AlternateContent xmlns:mc="http://schemas.openxmlformats.org/markup-compatibility/2006">
    <mc:Choice Requires="x15">
      <x15ac:absPath xmlns:x15ac="http://schemas.microsoft.com/office/spreadsheetml/2010/11/ac" url="C:\Users\xavie\Desktop\05_Amidaments\"/>
    </mc:Choice>
  </mc:AlternateContent>
  <xr:revisionPtr revIDLastSave="0" documentId="13_ncr:1_{1DDD2693-1C16-472F-94F1-EBA5ED4B32E2}" xr6:coauthVersionLast="47" xr6:coauthVersionMax="47" xr10:uidLastSave="{00000000-0000-0000-0000-000000000000}"/>
  <bookViews>
    <workbookView xWindow="810" yWindow="-120" windowWidth="28110" windowHeight="16440" xr2:uid="{00000000-000D-0000-FFFF-FFFF00000000}"/>
  </bookViews>
  <sheets>
    <sheet name="Full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28" i="1" l="1"/>
  <c r="K328" i="1"/>
  <c r="M328" i="1" s="1"/>
  <c r="L326" i="1"/>
  <c r="K326" i="1"/>
  <c r="M326" i="1" s="1"/>
  <c r="L324" i="1"/>
  <c r="K324" i="1"/>
  <c r="M324" i="1" s="1"/>
  <c r="M322" i="1"/>
  <c r="L322" i="1"/>
  <c r="K322" i="1"/>
  <c r="L320" i="1"/>
  <c r="M320" i="1" s="1"/>
  <c r="K320" i="1"/>
  <c r="M316" i="1"/>
  <c r="L316" i="1"/>
  <c r="M315" i="1"/>
  <c r="L315" i="1"/>
  <c r="M314" i="1"/>
  <c r="L314" i="1"/>
  <c r="M313" i="1"/>
  <c r="L313" i="1"/>
  <c r="M312" i="1"/>
  <c r="L317" i="1" s="1"/>
  <c r="L312" i="1"/>
  <c r="K310" i="1"/>
  <c r="L308" i="1"/>
  <c r="M308" i="1" s="1"/>
  <c r="L307" i="1"/>
  <c r="M307" i="1" s="1"/>
  <c r="L306" i="1"/>
  <c r="M306" i="1" s="1"/>
  <c r="K304" i="1"/>
  <c r="M300" i="1"/>
  <c r="L300" i="1"/>
  <c r="K300" i="1"/>
  <c r="L298" i="1"/>
  <c r="M298" i="1" s="1"/>
  <c r="L297" i="1"/>
  <c r="M297" i="1" s="1"/>
  <c r="L296" i="1"/>
  <c r="M296" i="1" s="1"/>
  <c r="L295" i="1"/>
  <c r="M295" i="1" s="1"/>
  <c r="L294" i="1"/>
  <c r="M294" i="1" s="1"/>
  <c r="L293" i="1"/>
  <c r="M293" i="1" s="1"/>
  <c r="J292" i="1"/>
  <c r="K292" i="1" s="1"/>
  <c r="K289" i="1" s="1"/>
  <c r="M287" i="1"/>
  <c r="L287" i="1"/>
  <c r="M286" i="1"/>
  <c r="L286" i="1"/>
  <c r="M285" i="1"/>
  <c r="L285" i="1"/>
  <c r="M284" i="1"/>
  <c r="L288" i="1" s="1"/>
  <c r="L284" i="1"/>
  <c r="K282" i="1"/>
  <c r="L278" i="1"/>
  <c r="M278" i="1" s="1"/>
  <c r="L277" i="1"/>
  <c r="M277" i="1" s="1"/>
  <c r="L276" i="1"/>
  <c r="M276" i="1" s="1"/>
  <c r="J275" i="1"/>
  <c r="K275" i="1" s="1"/>
  <c r="K272" i="1" s="1"/>
  <c r="M270" i="1"/>
  <c r="L270" i="1"/>
  <c r="M269" i="1"/>
  <c r="L269" i="1"/>
  <c r="M268" i="1"/>
  <c r="L271" i="1" s="1"/>
  <c r="L266" i="1" s="1"/>
  <c r="M266" i="1" s="1"/>
  <c r="L268" i="1"/>
  <c r="K266" i="1"/>
  <c r="L265" i="1"/>
  <c r="M265" i="1" s="1"/>
  <c r="L264" i="1"/>
  <c r="M264" i="1" s="1"/>
  <c r="L263" i="1"/>
  <c r="M263" i="1" s="1"/>
  <c r="L262" i="1"/>
  <c r="M262" i="1" s="1"/>
  <c r="K260" i="1"/>
  <c r="M258" i="1"/>
  <c r="L258" i="1"/>
  <c r="M257" i="1"/>
  <c r="L257" i="1"/>
  <c r="M256" i="1"/>
  <c r="L259" i="1" s="1"/>
  <c r="L256" i="1"/>
  <c r="K254" i="1"/>
  <c r="L252" i="1"/>
  <c r="M252" i="1" s="1"/>
  <c r="L251" i="1"/>
  <c r="M251" i="1" s="1"/>
  <c r="L250" i="1"/>
  <c r="M250" i="1" s="1"/>
  <c r="L253" i="1" s="1"/>
  <c r="K248" i="1"/>
  <c r="M246" i="1"/>
  <c r="L246" i="1"/>
  <c r="M245" i="1"/>
  <c r="L245" i="1"/>
  <c r="M244" i="1"/>
  <c r="L244" i="1"/>
  <c r="K242" i="1"/>
  <c r="L240" i="1"/>
  <c r="M240" i="1" s="1"/>
  <c r="L239" i="1"/>
  <c r="M239" i="1" s="1"/>
  <c r="L241" i="1" s="1"/>
  <c r="L238" i="1"/>
  <c r="M238" i="1" s="1"/>
  <c r="K236" i="1"/>
  <c r="M234" i="1"/>
  <c r="L234" i="1"/>
  <c r="M233" i="1"/>
  <c r="L233" i="1"/>
  <c r="M232" i="1"/>
  <c r="L232" i="1"/>
  <c r="M231" i="1"/>
  <c r="L231" i="1"/>
  <c r="K230" i="1"/>
  <c r="K227" i="1" s="1"/>
  <c r="J230" i="1"/>
  <c r="L225" i="1"/>
  <c r="M225" i="1" s="1"/>
  <c r="L224" i="1"/>
  <c r="M224" i="1" s="1"/>
  <c r="L223" i="1"/>
  <c r="M223" i="1" s="1"/>
  <c r="L222" i="1"/>
  <c r="M222" i="1" s="1"/>
  <c r="J221" i="1"/>
  <c r="K221" i="1" s="1"/>
  <c r="K218" i="1" s="1"/>
  <c r="M216" i="1"/>
  <c r="L216" i="1"/>
  <c r="M215" i="1"/>
  <c r="L215" i="1"/>
  <c r="M214" i="1"/>
  <c r="L214" i="1"/>
  <c r="M213" i="1"/>
  <c r="L213" i="1"/>
  <c r="M212" i="1"/>
  <c r="L212" i="1"/>
  <c r="M211" i="1"/>
  <c r="L211" i="1"/>
  <c r="M210" i="1"/>
  <c r="L210" i="1"/>
  <c r="M209" i="1"/>
  <c r="L209" i="1"/>
  <c r="M208" i="1"/>
  <c r="L208" i="1"/>
  <c r="M207" i="1"/>
  <c r="L207" i="1"/>
  <c r="M206" i="1"/>
  <c r="L206" i="1"/>
  <c r="K205" i="1"/>
  <c r="K202" i="1" s="1"/>
  <c r="J205" i="1"/>
  <c r="L200" i="1"/>
  <c r="M200" i="1" s="1"/>
  <c r="L199" i="1"/>
  <c r="M199" i="1" s="1"/>
  <c r="L198" i="1"/>
  <c r="M198" i="1" s="1"/>
  <c r="L197" i="1"/>
  <c r="M197" i="1" s="1"/>
  <c r="J196" i="1"/>
  <c r="K196" i="1" s="1"/>
  <c r="K193" i="1" s="1"/>
  <c r="M191" i="1"/>
  <c r="L191" i="1"/>
  <c r="K191" i="1"/>
  <c r="L187" i="1"/>
  <c r="M187" i="1" s="1"/>
  <c r="L188" i="1" s="1"/>
  <c r="L186" i="1"/>
  <c r="M186" i="1" s="1"/>
  <c r="K184" i="1"/>
  <c r="M183" i="1"/>
  <c r="M182" i="1"/>
  <c r="L182" i="1"/>
  <c r="M181" i="1"/>
  <c r="L183" i="1" s="1"/>
  <c r="L179" i="1" s="1"/>
  <c r="L181" i="1"/>
  <c r="K179" i="1"/>
  <c r="M179" i="1" s="1"/>
  <c r="L177" i="1"/>
  <c r="M177" i="1" s="1"/>
  <c r="L176" i="1"/>
  <c r="M176" i="1" s="1"/>
  <c r="L178" i="1" s="1"/>
  <c r="M178" i="1" s="1"/>
  <c r="L174" i="1"/>
  <c r="K174" i="1"/>
  <c r="M174" i="1" s="1"/>
  <c r="M172" i="1"/>
  <c r="L172" i="1"/>
  <c r="M171" i="1"/>
  <c r="L171" i="1"/>
  <c r="M170" i="1"/>
  <c r="L170" i="1"/>
  <c r="M169" i="1"/>
  <c r="L169" i="1"/>
  <c r="M168" i="1"/>
  <c r="L168" i="1"/>
  <c r="M167" i="1"/>
  <c r="L167" i="1"/>
  <c r="M166" i="1"/>
  <c r="L166" i="1"/>
  <c r="M165" i="1"/>
  <c r="L165" i="1"/>
  <c r="M164" i="1"/>
  <c r="L164" i="1"/>
  <c r="M163" i="1"/>
  <c r="L163" i="1"/>
  <c r="M162" i="1"/>
  <c r="L173" i="1" s="1"/>
  <c r="L162" i="1"/>
  <c r="J161" i="1"/>
  <c r="J160" i="1"/>
  <c r="K161" i="1" s="1"/>
  <c r="K157" i="1" s="1"/>
  <c r="M155" i="1"/>
  <c r="L155" i="1"/>
  <c r="M154" i="1"/>
  <c r="L154" i="1"/>
  <c r="M153" i="1"/>
  <c r="L153" i="1"/>
  <c r="K152" i="1"/>
  <c r="K148" i="1" s="1"/>
  <c r="J151" i="1"/>
  <c r="L146" i="1"/>
  <c r="M146" i="1" s="1"/>
  <c r="L145" i="1"/>
  <c r="M145" i="1" s="1"/>
  <c r="L144" i="1"/>
  <c r="M144" i="1" s="1"/>
  <c r="L143" i="1"/>
  <c r="M143" i="1" s="1"/>
  <c r="L142" i="1"/>
  <c r="M142" i="1" s="1"/>
  <c r="L141" i="1"/>
  <c r="M141" i="1" s="1"/>
  <c r="L140" i="1"/>
  <c r="M140" i="1" s="1"/>
  <c r="K138" i="1"/>
  <c r="M136" i="1"/>
  <c r="L136" i="1"/>
  <c r="M135" i="1"/>
  <c r="L135" i="1"/>
  <c r="M134" i="1"/>
  <c r="L134" i="1"/>
  <c r="M133" i="1"/>
  <c r="L133" i="1"/>
  <c r="M132" i="1"/>
  <c r="L132" i="1"/>
  <c r="M131" i="1"/>
  <c r="L131" i="1"/>
  <c r="M130" i="1"/>
  <c r="L137" i="1" s="1"/>
  <c r="L126" i="1" s="1"/>
  <c r="L130" i="1"/>
  <c r="K129" i="1"/>
  <c r="J129" i="1"/>
  <c r="K126" i="1"/>
  <c r="L124" i="1"/>
  <c r="M124" i="1" s="1"/>
  <c r="L123" i="1"/>
  <c r="M123" i="1" s="1"/>
  <c r="L122" i="1"/>
  <c r="M122" i="1" s="1"/>
  <c r="L121" i="1"/>
  <c r="M121" i="1" s="1"/>
  <c r="L120" i="1"/>
  <c r="M120" i="1" s="1"/>
  <c r="L119" i="1"/>
  <c r="M119" i="1" s="1"/>
  <c r="L118" i="1"/>
  <c r="M118" i="1" s="1"/>
  <c r="J117" i="1"/>
  <c r="K117" i="1" s="1"/>
  <c r="K114" i="1" s="1"/>
  <c r="M112" i="1"/>
  <c r="L112" i="1"/>
  <c r="M111" i="1"/>
  <c r="L111" i="1"/>
  <c r="M110" i="1"/>
  <c r="L110" i="1"/>
  <c r="M109" i="1"/>
  <c r="L109" i="1"/>
  <c r="M108" i="1"/>
  <c r="L108" i="1"/>
  <c r="M107" i="1"/>
  <c r="L107" i="1"/>
  <c r="M106" i="1"/>
  <c r="L106" i="1"/>
  <c r="M105" i="1"/>
  <c r="L105" i="1"/>
  <c r="M104" i="1"/>
  <c r="L104" i="1"/>
  <c r="M103" i="1"/>
  <c r="L113" i="1" s="1"/>
  <c r="M113" i="1" s="1"/>
  <c r="L103" i="1"/>
  <c r="K102" i="1"/>
  <c r="K97" i="1" s="1"/>
  <c r="J101" i="1"/>
  <c r="J100" i="1"/>
  <c r="M95" i="1"/>
  <c r="L95" i="1"/>
  <c r="M94" i="1"/>
  <c r="L94" i="1"/>
  <c r="M93" i="1"/>
  <c r="L93" i="1"/>
  <c r="M92" i="1"/>
  <c r="L92" i="1"/>
  <c r="M91" i="1"/>
  <c r="L91" i="1"/>
  <c r="M90" i="1"/>
  <c r="L90" i="1"/>
  <c r="M89" i="1"/>
  <c r="L96" i="1" s="1"/>
  <c r="L89" i="1"/>
  <c r="J88" i="1"/>
  <c r="J87" i="1"/>
  <c r="K88" i="1" s="1"/>
  <c r="K84" i="1" s="1"/>
  <c r="M83" i="1"/>
  <c r="M82" i="1"/>
  <c r="L82" i="1"/>
  <c r="M81" i="1"/>
  <c r="L83" i="1" s="1"/>
  <c r="L79" i="1" s="1"/>
  <c r="L81" i="1"/>
  <c r="K79" i="1"/>
  <c r="M79" i="1" s="1"/>
  <c r="L77" i="1"/>
  <c r="M77" i="1" s="1"/>
  <c r="L76" i="1"/>
  <c r="M76" i="1" s="1"/>
  <c r="L75" i="1"/>
  <c r="M75" i="1" s="1"/>
  <c r="J74" i="1"/>
  <c r="J73" i="1"/>
  <c r="J72" i="1"/>
  <c r="J71" i="1"/>
  <c r="K74" i="1" s="1"/>
  <c r="K68" i="1"/>
  <c r="L66" i="1"/>
  <c r="M66" i="1" s="1"/>
  <c r="K66" i="1"/>
  <c r="M65" i="1"/>
  <c r="M64" i="1"/>
  <c r="L64" i="1"/>
  <c r="M63" i="1"/>
  <c r="L63" i="1"/>
  <c r="M62" i="1"/>
  <c r="L62" i="1"/>
  <c r="M61" i="1"/>
  <c r="L65" i="1" s="1"/>
  <c r="L61" i="1"/>
  <c r="J60" i="1"/>
  <c r="J59" i="1"/>
  <c r="J58" i="1"/>
  <c r="J57" i="1"/>
  <c r="L54" i="1"/>
  <c r="M50" i="1"/>
  <c r="L50" i="1"/>
  <c r="M49" i="1"/>
  <c r="L49" i="1"/>
  <c r="M48" i="1"/>
  <c r="L48" i="1"/>
  <c r="M47" i="1"/>
  <c r="L47" i="1"/>
  <c r="M46" i="1"/>
  <c r="L51" i="1" s="1"/>
  <c r="L46" i="1"/>
  <c r="J45" i="1"/>
  <c r="J44" i="1"/>
  <c r="K45" i="1" s="1"/>
  <c r="K40" i="1" s="1"/>
  <c r="J43" i="1"/>
  <c r="L38" i="1"/>
  <c r="M38" i="1" s="1"/>
  <c r="L37" i="1"/>
  <c r="M37" i="1" s="1"/>
  <c r="L36" i="1"/>
  <c r="M36" i="1" s="1"/>
  <c r="K34" i="1"/>
  <c r="M33" i="1"/>
  <c r="M32" i="1"/>
  <c r="L32" i="1"/>
  <c r="M31" i="1"/>
  <c r="L31" i="1"/>
  <c r="M30" i="1"/>
  <c r="L30" i="1"/>
  <c r="M29" i="1"/>
  <c r="L33" i="1" s="1"/>
  <c r="L29" i="1"/>
  <c r="J28" i="1"/>
  <c r="J27" i="1"/>
  <c r="J26" i="1"/>
  <c r="J25" i="1"/>
  <c r="K28" i="1" s="1"/>
  <c r="K22" i="1" s="1"/>
  <c r="L22" i="1"/>
  <c r="M20" i="1"/>
  <c r="L20" i="1"/>
  <c r="M19" i="1"/>
  <c r="L19" i="1"/>
  <c r="M18" i="1"/>
  <c r="L18" i="1"/>
  <c r="M17" i="1"/>
  <c r="L17" i="1"/>
  <c r="M16" i="1"/>
  <c r="L16" i="1"/>
  <c r="M15" i="1"/>
  <c r="L21" i="1" s="1"/>
  <c r="L15" i="1"/>
  <c r="K14" i="1"/>
  <c r="J14" i="1"/>
  <c r="K11" i="1"/>
  <c r="L9" i="1"/>
  <c r="M9" i="1" s="1"/>
  <c r="K9" i="1"/>
  <c r="M7" i="1"/>
  <c r="L7" i="1"/>
  <c r="K7" i="1"/>
  <c r="L184" i="1" l="1"/>
  <c r="M184" i="1" s="1"/>
  <c r="M188" i="1"/>
  <c r="M241" i="1"/>
  <c r="L236" i="1"/>
  <c r="M236" i="1" s="1"/>
  <c r="M126" i="1"/>
  <c r="M11" i="1"/>
  <c r="L282" i="1"/>
  <c r="M282" i="1" s="1"/>
  <c r="M288" i="1"/>
  <c r="L260" i="1"/>
  <c r="M317" i="1"/>
  <c r="L310" i="1"/>
  <c r="M21" i="1"/>
  <c r="L11" i="1"/>
  <c r="M22" i="1"/>
  <c r="L125" i="1"/>
  <c r="M271" i="1"/>
  <c r="L299" i="1"/>
  <c r="K60" i="1"/>
  <c r="K54" i="1" s="1"/>
  <c r="M54" i="1" s="1"/>
  <c r="L78" i="1"/>
  <c r="M96" i="1"/>
  <c r="L84" i="1"/>
  <c r="L156" i="1"/>
  <c r="L226" i="1"/>
  <c r="L235" i="1"/>
  <c r="L247" i="1"/>
  <c r="M259" i="1"/>
  <c r="L254" i="1"/>
  <c r="M254" i="1" s="1"/>
  <c r="M310" i="1"/>
  <c r="L330" i="1"/>
  <c r="M137" i="1"/>
  <c r="M253" i="1"/>
  <c r="L248" i="1"/>
  <c r="M248" i="1" s="1"/>
  <c r="L39" i="1"/>
  <c r="M51" i="1"/>
  <c r="L40" i="1"/>
  <c r="M40" i="1" s="1"/>
  <c r="M84" i="1"/>
  <c r="L97" i="1"/>
  <c r="M97" i="1" s="1"/>
  <c r="L147" i="1"/>
  <c r="M173" i="1"/>
  <c r="L157" i="1"/>
  <c r="M157" i="1" s="1"/>
  <c r="L201" i="1"/>
  <c r="L217" i="1"/>
  <c r="M260" i="1"/>
  <c r="L279" i="1"/>
  <c r="L309" i="1"/>
  <c r="L242" i="1" l="1"/>
  <c r="M242" i="1" s="1"/>
  <c r="M247" i="1"/>
  <c r="M78" i="1"/>
  <c r="L68" i="1"/>
  <c r="M68" i="1" s="1"/>
  <c r="L202" i="1"/>
  <c r="M202" i="1" s="1"/>
  <c r="M217" i="1"/>
  <c r="M147" i="1"/>
  <c r="L138" i="1"/>
  <c r="M138" i="1" s="1"/>
  <c r="M235" i="1"/>
  <c r="L227" i="1"/>
  <c r="M227" i="1" s="1"/>
  <c r="L148" i="1"/>
  <c r="M148" i="1" s="1"/>
  <c r="M156" i="1"/>
  <c r="M125" i="1"/>
  <c r="L114" i="1"/>
  <c r="M114" i="1" s="1"/>
  <c r="L189" i="1" s="1"/>
  <c r="M309" i="1"/>
  <c r="L304" i="1"/>
  <c r="M304" i="1" s="1"/>
  <c r="L318" i="1" s="1"/>
  <c r="M201" i="1"/>
  <c r="L193" i="1"/>
  <c r="M193" i="1" s="1"/>
  <c r="L280" i="1" s="1"/>
  <c r="M39" i="1"/>
  <c r="L34" i="1"/>
  <c r="M34" i="1" s="1"/>
  <c r="L52" i="1" s="1"/>
  <c r="M330" i="1"/>
  <c r="L319" i="1"/>
  <c r="M319" i="1" s="1"/>
  <c r="M226" i="1"/>
  <c r="L218" i="1"/>
  <c r="M218" i="1" s="1"/>
  <c r="L272" i="1"/>
  <c r="M272" i="1" s="1"/>
  <c r="M279" i="1"/>
  <c r="M299" i="1"/>
  <c r="L289" i="1"/>
  <c r="M289" i="1" s="1"/>
  <c r="L302" i="1"/>
  <c r="L6" i="1" l="1"/>
  <c r="M6" i="1" s="1"/>
  <c r="M52" i="1"/>
  <c r="M189" i="1"/>
  <c r="L53" i="1"/>
  <c r="M53" i="1" s="1"/>
  <c r="M280" i="1"/>
  <c r="L190" i="1"/>
  <c r="M190" i="1" s="1"/>
  <c r="M302" i="1"/>
  <c r="L281" i="1"/>
  <c r="M281" i="1" s="1"/>
  <c r="L303" i="1"/>
  <c r="M303" i="1" s="1"/>
  <c r="M318" i="1"/>
  <c r="L331" i="1" l="1"/>
  <c r="L5" i="1" l="1"/>
  <c r="M5" i="1" s="1"/>
  <c r="M331" i="1"/>
  <c r="L332" i="1" s="1"/>
  <c r="M332" i="1" l="1"/>
  <c r="L4" i="1"/>
  <c r="M4" i="1" s="1"/>
</calcChain>
</file>

<file path=xl/sharedStrings.xml><?xml version="1.0" encoding="utf-8"?>
<sst xmlns="http://schemas.openxmlformats.org/spreadsheetml/2006/main" count="988" uniqueCount="988">
  <si>
    <t>Obra:</t>
  </si>
  <si>
    <t>Enllumenat Fontanella QEP-314</t>
  </si>
  <si>
    <t>Pressupost</t>
  </si>
  <si>
    <t>% C.I.</t>
  </si>
  <si>
    <t>Codi</t>
  </si>
  <si>
    <t>Tipus</t>
  </si>
  <si>
    <t>U</t>
  </si>
  <si>
    <t>Resum</t>
  </si>
  <si>
    <t>Quantitat</t>
  </si>
  <si>
    <t>Preu (€)</t>
  </si>
  <si>
    <t>Import (€)</t>
  </si>
  <si>
    <t>22010_ENLLUMENAT_FONTANELLA</t>
  </si>
  <si>
    <t>Capítol</t>
  </si>
  <si>
    <t>Enllumenat Fontanella QEP-314</t>
  </si>
  <si>
    <t>CAP01</t>
  </si>
  <si>
    <t>Capítol</t>
  </si>
  <si>
    <t>Enllumenat Fontanella QEP-314</t>
  </si>
  <si>
    <t>SUB00</t>
  </si>
  <si>
    <t>Capítol</t>
  </si>
  <si>
    <t>DEMOLICIO</t>
  </si>
  <si>
    <t>AVC045</t>
  </si>
  <si>
    <t>Partida</t>
  </si>
  <si>
    <t>UT</t>
  </si>
  <si>
    <t>Desmuntatge dels punts de llums existents i retirar tots els seus components, tals com lluminaries, cablejat, mecanismes baculs, braços i postes i linies d'alimentacio i distribucio actuals, amb carrega i transport de runes al abocador autoritzat inclos les taxes d'abocament. EL desmuntatge del enllumenat s'executara un cop finalitzada i en funcionament la instal·lacio projectada, executant aquesta en paralel a la existent per tal de no deixar la zona sense enllumenat.</t>
  </si>
  <si>
    <t>Desmuntatge dels punts de llums existents i retirar tots els seus components, tals com lluminaries, cablejat, mecanismes baculs, braços i postes i linies d'alimentacio i distribucio actuals, amb carrega i transport de runes al abocador autoritzat inclos les taxes d'abocament. EL desmuntatge del enllumenat s'executara un cop finalitzada i en funcionament la instal·lacio projectada, executant aquesta en paralel a la existent per tal de no deixar la zona sense enllumenat.</t>
  </si>
  <si>
    <t>AVC046</t>
  </si>
  <si>
    <t>Partida</t>
  </si>
  <si>
    <t>UT</t>
  </si>
  <si>
    <t>Desmuntatge de quadre elèctric QEP 101, inclosa peana i reconstrucció de vorera.</t>
  </si>
  <si>
    <t>Desmuntatge de quadre elèctric QEP 101, inclosa peana i reconstrucció de vorera.</t>
  </si>
  <si>
    <t>DMX030</t>
  </si>
  <si>
    <t>Partida</t>
  </si>
  <si>
    <t>m²</t>
  </si>
  <si>
    <t>Demolició de paviment d'aglomerat asfàltic en calçada, amb martell pneumàtic, i càrrega manual sobre camió o contenidor.</t>
  </si>
  <si>
    <t>Demolició de paviment d'aglomerat asfàltic en calçada, amb martell pneumàtic, i càrrega manual sobre camió o contenidor.
Inclou: Tall previ del contorn de a zona a demolir. Demolició de l'element. Fragmentació dels enderrocs en peces manejables. Retirada i arreplegat de enderrocs. Neteja de les restes de l'obra. Càrrega manual d'enderrocs sobre camió o contenidor.
Criteri d'amidament de projecte: Superfície mesurada segons documentació gràfica de Projecte.
Criteri de mesura d'obra: S'amidarà la superfície realment enderrocada segons especificacions de Projecte.
Criteri de valoració econòmica: El preu inclou el tall previ del contorn del paviment, però no inclou la demolició de la base suport.</t>
  </si>
  <si>
    <t>Uts.</t>
  </si>
  <si>
    <t>Llargada</t>
  </si>
  <si>
    <t>Amplada</t>
  </si>
  <si>
    <t>Alçada</t>
  </si>
  <si>
    <t>Parcial</t>
  </si>
  <si>
    <t>Subtotal</t>
  </si>
  <si>
    <t>Creuaments de carrers C4</t>
  </si>
  <si>
    <t>mq05mai030</t>
  </si>
  <si>
    <t>Maquinària</t>
  </si>
  <si>
    <t>h</t>
  </si>
  <si>
    <t>Martell pneumàtic.</t>
  </si>
  <si>
    <t>mq05pdm110</t>
  </si>
  <si>
    <t>Maquinària</t>
  </si>
  <si>
    <t>h</t>
  </si>
  <si>
    <t>Compressor portàtil dièsel mitja pressió 10 m³/min.</t>
  </si>
  <si>
    <t>mq11eqc010</t>
  </si>
  <si>
    <t>Maquinària</t>
  </si>
  <si>
    <t>h</t>
  </si>
  <si>
    <t>Talladora de paviment amb arrencada, desplaçament i regulació del disc de tall manuals.</t>
  </si>
  <si>
    <t>mo112</t>
  </si>
  <si>
    <t>Mà d'obra</t>
  </si>
  <si>
    <t>h</t>
  </si>
  <si>
    <t>Peó especialitzat construcció.</t>
  </si>
  <si>
    <t>mo113</t>
  </si>
  <si>
    <t>Mà d'obra</t>
  </si>
  <si>
    <t>h</t>
  </si>
  <si>
    <t>Peó ordinari construcció.</t>
  </si>
  <si>
    <t>%</t>
  </si>
  <si>
    <t>%</t>
  </si>
  <si>
    <t>Costos directes complementaris</t>
  </si>
  <si>
    <t>DMX030</t>
  </si>
  <si>
    <t>DMX020</t>
  </si>
  <si>
    <t>Partida</t>
  </si>
  <si>
    <t>m²</t>
  </si>
  <si>
    <t>Demolició de paviment exterior de formigó en massa, mitjançant retroexcavadora amb martell picador, i càrrega mecànica sobre camió o contenidor.</t>
  </si>
  <si>
    <t>Demolició de paviment exterior de formigó en massa, mitjançant retroexcavadora amb martell picador, i càrrega mecànica sobre camió o contenidor.
Inclou: Demolició de l'element. Fragmentació dels enderrocs en peces manejables. Retirada i arreplegat de enderrocs. Neteja de les restes de l'obra. Càrrega mecànica d'enderrocs sobre camió o contenidor.
Criteri d'amidament de projecte: Superfície mesurada segons documentació gràfica de Projecte.
Criteri de mesura d'obra: S'amidarà la superfície realment enderrocada segons especificacions de Projecte.
Criteri de valoració econòmica: El preu no inclou la demolició de la base suport.</t>
  </si>
  <si>
    <t>Uts.</t>
  </si>
  <si>
    <t>Llargada</t>
  </si>
  <si>
    <t>Amplada</t>
  </si>
  <si>
    <t>Alçada</t>
  </si>
  <si>
    <t>Parcial</t>
  </si>
  <si>
    <t>Subtotal</t>
  </si>
  <si>
    <t>Creuaments de carrers C4</t>
  </si>
  <si>
    <t>Rasa panot C4</t>
  </si>
  <si>
    <t>Pericó C4</t>
  </si>
  <si>
    <t>Bàculs</t>
  </si>
  <si>
    <t>mq01exn050c</t>
  </si>
  <si>
    <t>Maquinària</t>
  </si>
  <si>
    <t>h</t>
  </si>
  <si>
    <t>Retroexcavadora sobre pneumàtics, de 85 kW, amb martell trencador.</t>
  </si>
  <si>
    <t>mq01ret010</t>
  </si>
  <si>
    <t>Maquinària</t>
  </si>
  <si>
    <t>h</t>
  </si>
  <si>
    <t>Miniretrocarregadora sobre pneumàtics de 15 kW.</t>
  </si>
  <si>
    <t>mo112</t>
  </si>
  <si>
    <t>Mà d'obra</t>
  </si>
  <si>
    <t>h</t>
  </si>
  <si>
    <t>Peó especialitzat construcció.</t>
  </si>
  <si>
    <t>%</t>
  </si>
  <si>
    <t>%</t>
  </si>
  <si>
    <t>Costos directes complementaris</t>
  </si>
  <si>
    <t>DMX020</t>
  </si>
  <si>
    <t>DMX090</t>
  </si>
  <si>
    <t>Partida</t>
  </si>
  <si>
    <t>m</t>
  </si>
  <si>
    <t>Aixecat de vorada sobre base de formigó, amb mitjans manuals i recuperació del 80% del material per a la seva posterior reutilització, sense deteriorar els elements constructius contigus, i càrrega manual sobre camió o contenidor.</t>
  </si>
  <si>
    <t>Aixecat de vorada sobre base de formigó, amb mitjans manuals i recuperació del 80% del material per a la seva posterior reutilització, sense deteriorar els elements constructius contigus, i càrrega manual sobre camió o contenidor.
Inclou: Aixecat de l'element. Classificació i etiquetatge. Neteja del revers de les rajoles. Aplec dels materials a reutilitzar. Càrrega manual del material a reutilitzar sobre camió. Retirada i aplec de les restes d'obra. Neteja de les restes de l'obra. Càrrega manual d'enderrocs sobre camió o contenidor.
Criteri d'amidament de projecte: Longitud mesurada segons documentació gràfica de Projecte.
Criteri de mesura d'obra: S'amidarà la longitud realment enderrocada segons especificacions de Projecte.
Criteri de valoració econòmica: El preu inclou el picat del material d'unió adherit a la seva superfície i al suport.</t>
  </si>
  <si>
    <t>mo112</t>
  </si>
  <si>
    <t>Mà d'obra</t>
  </si>
  <si>
    <t>h</t>
  </si>
  <si>
    <t>Peó especialitzat construcció.</t>
  </si>
  <si>
    <t>mo113</t>
  </si>
  <si>
    <t>Mà d'obra</t>
  </si>
  <si>
    <t>h</t>
  </si>
  <si>
    <t>Peó ordinari construcció.</t>
  </si>
  <si>
    <t>%</t>
  </si>
  <si>
    <t>%</t>
  </si>
  <si>
    <t>Costos directes complementaris</t>
  </si>
  <si>
    <t>DMX090</t>
  </si>
  <si>
    <t>DMX050</t>
  </si>
  <si>
    <t>Partida</t>
  </si>
  <si>
    <t>m²</t>
  </si>
  <si>
    <t>Demolició de paviment exterior de rajoles i/o llosetes de formigó, amb martell pneumàtic, i càrrega manual sobre camió o contenidor.</t>
  </si>
  <si>
    <t>Demolició de paviment exterior de rajoles i/o llosetes de formigó, amb martell pneumàtic, i càrrega manual sobre camió o contenidor.
Inclou: Demolició de l'element. Fragmentació dels enderrocs en peces manejables. Retirada i arreplegat de enderrocs. Neteja de les restes de l'obra. Càrrega manual d'enderrocs sobre camió o contenidor.
Criteri d'amidament de projecte: Superfície mesurada segons documentació gràfica de Projecte.
Criteri de mesura d'obra: S'amidarà la superfície realment enderrocada segons especificacions de Projecte.
Criteri de valoració econòmica: El preu inclou el picat del material d'unió, però no inclou la demolició de la base suport.</t>
  </si>
  <si>
    <t>Uts.</t>
  </si>
  <si>
    <t>Llargada</t>
  </si>
  <si>
    <t>Amplada</t>
  </si>
  <si>
    <t>Alçada</t>
  </si>
  <si>
    <t>Parcial</t>
  </si>
  <si>
    <t>Subtotal</t>
  </si>
  <si>
    <t>Rasa panot C4</t>
  </si>
  <si>
    <t>Pericó C4</t>
  </si>
  <si>
    <t>Bàculs C4</t>
  </si>
  <si>
    <t>mq05mai030</t>
  </si>
  <si>
    <t>Maquinària</t>
  </si>
  <si>
    <t>h</t>
  </si>
  <si>
    <t>Martell pneumàtic.</t>
  </si>
  <si>
    <t>mq05pdm110</t>
  </si>
  <si>
    <t>Maquinària</t>
  </si>
  <si>
    <t>h</t>
  </si>
  <si>
    <t>Compressor portàtil dièsel mitja pressió 10 m³/min.</t>
  </si>
  <si>
    <t>mo112</t>
  </si>
  <si>
    <t>Mà d'obra</t>
  </si>
  <si>
    <t>h</t>
  </si>
  <si>
    <t>Peó especialitzat construcció.</t>
  </si>
  <si>
    <t>mo113</t>
  </si>
  <si>
    <t>Mà d'obra</t>
  </si>
  <si>
    <t>h</t>
  </si>
  <si>
    <t>Peó ordinari construcció.</t>
  </si>
  <si>
    <t>%</t>
  </si>
  <si>
    <t>%</t>
  </si>
  <si>
    <t>Costos directes complementaris</t>
  </si>
  <si>
    <t>DMX050</t>
  </si>
  <si>
    <t>SUB00</t>
  </si>
  <si>
    <t>SUB01</t>
  </si>
  <si>
    <t>Capítol</t>
  </si>
  <si>
    <t>OBRA CIVIL</t>
  </si>
  <si>
    <t>AVC036</t>
  </si>
  <si>
    <t>Partida</t>
  </si>
  <si>
    <t>m³</t>
  </si>
  <si>
    <t>Paviment de formigo</t>
  </si>
  <si>
    <t>Paviment de formigo sense additius hm-30/b/20/i+e de consistencia tova grandaria maxima del granulat 20 mm, escampat des de camio, estesa i vibratge mecanic i acabat reglejat</t>
  </si>
  <si>
    <t>Uts.</t>
  </si>
  <si>
    <t>Llargada</t>
  </si>
  <si>
    <t>Amplada</t>
  </si>
  <si>
    <t>Alçada</t>
  </si>
  <si>
    <t>Parcial</t>
  </si>
  <si>
    <t>Subtotal</t>
  </si>
  <si>
    <t>Creuaments de carrers C4</t>
  </si>
  <si>
    <t>Rasa panot C4</t>
  </si>
  <si>
    <t>Fonaments bàculs C4</t>
  </si>
  <si>
    <t>Llumeneres antigues</t>
  </si>
  <si>
    <t>mo041</t>
  </si>
  <si>
    <t>Mà d'obra</t>
  </si>
  <si>
    <t>h</t>
  </si>
  <si>
    <t>Oficial 1ª construcció d'obra civil.</t>
  </si>
  <si>
    <t>mo113</t>
  </si>
  <si>
    <t>Mà d'obra</t>
  </si>
  <si>
    <t>h</t>
  </si>
  <si>
    <t>Peó ordinari construcció.</t>
  </si>
  <si>
    <t>P11</t>
  </si>
  <si>
    <t>Material</t>
  </si>
  <si>
    <t>M3</t>
  </si>
  <si>
    <t>Formigo HM-30/B/20/I+E</t>
  </si>
  <si>
    <t>MQ07</t>
  </si>
  <si>
    <t>Maquinària</t>
  </si>
  <si>
    <t>H</t>
  </si>
  <si>
    <t>Regle vibratori</t>
  </si>
  <si>
    <t>AVC036</t>
  </si>
  <si>
    <t>AVC044</t>
  </si>
  <si>
    <t>Partida</t>
  </si>
  <si>
    <t>UT</t>
  </si>
  <si>
    <t>Partida completa i en funcionament de protecció individuals dels arbres de perímetre del tronc de fins a  149 cm de perímetre contra els cops, consistent en tancats de fusta de pi, de 22 mm de gruix, per a 5 usos de 2 metres d’alçada com a mínim, i es pro</t>
  </si>
  <si>
    <t>Partida completa i en funcionament de protecció individuals dels arbres de perímetre del tronc de fins a  149 cm de perímetre contra els cops, consistent en tancats de fusta de pi, de 22 mm de gruix, per a 5 usos de 2 metres d’alçada com a mínim, i es protegirà amb material d’encoixinat (bandes de jute), la part del tronc en contacte amb el tancat de fusta, les zones de contacte dels lligams amb l’escorça, i la zona del coll de l’arrel si fos necessari.(inclòs la col·locació i el desmuntatge.).</t>
  </si>
  <si>
    <t>ADE010</t>
  </si>
  <si>
    <t>Partida</t>
  </si>
  <si>
    <t>m³</t>
  </si>
  <si>
    <t>Excavació de rases per instal·lacions fins a una profunditat de 2 m, en qualsevol tipus de terreny, amb mitjans mecànics, i càrrega a camió.</t>
  </si>
  <si>
    <t>Excavació de rases per instal·lacions fins a una profunditat de 2 m, en qualsevol tipus de terreny, amb mitjans mecànics, i càrrega a camió.
Inclou: Replanteig general i fixació dels punts i nivells de referència. Col·locació de les lliteres en els cantons i extrems de les alineacions. Excavació en successives rases horitzontals i extracció de terres. Refinat de fons amb extracció de les terres. Càrrega a camió de les terres excavades.
Criteri d'amidament de projecte: Volum mesurat sobre les seccions teòriques de l'excavació, segons documentació gràfica de Projecte, sense duplicar cantonades ni encontres.
Criteri de mesura d'obra: Es mesurarà el volum teòric executat segons especificacions de Projecte, sense duplicar cantonades ni encontres i sense incloure els increments per excessos d'excavació no autoritzats, ni el reblert necessari per a reconstruir la secció teòrica per defectes imputables al Contractista. Es mesurarà l'excavació una vegada realitzada i abans que sobre ella s'efectuï cap tipus de reblert. Si el Contractista tanqués l'excavació abans de conformat l'amidament, s'entendrà que s'avé al que unilateralment determini el director de l'execució de l'obra.
Criteri de valoració econòmica: El preu no inclou el transport dels materials excavats.</t>
  </si>
  <si>
    <t>Uts.</t>
  </si>
  <si>
    <t>Llargada</t>
  </si>
  <si>
    <t>Amplada</t>
  </si>
  <si>
    <t>Alçada</t>
  </si>
  <si>
    <t>Parcial</t>
  </si>
  <si>
    <t>Subtotal</t>
  </si>
  <si>
    <t>Creuaments de carrers C4</t>
  </si>
  <si>
    <t>Rasa panot C4</t>
  </si>
  <si>
    <t>Pericó C4</t>
  </si>
  <si>
    <t>Fonaments bàculs C4</t>
  </si>
  <si>
    <t>mq01exn020b</t>
  </si>
  <si>
    <t>Maquinària</t>
  </si>
  <si>
    <t>h</t>
  </si>
  <si>
    <t>Retroexcavadora hidràulica sobre pneumàtics, de 115 kW.</t>
  </si>
  <si>
    <t>mo113</t>
  </si>
  <si>
    <t>Mà d'obra</t>
  </si>
  <si>
    <t>h</t>
  </si>
  <si>
    <t>Peó ordinari construcció.</t>
  </si>
  <si>
    <t>%</t>
  </si>
  <si>
    <t>%</t>
  </si>
  <si>
    <t>Costos directes complementaris</t>
  </si>
  <si>
    <t>ADE010</t>
  </si>
  <si>
    <t>ADE010b</t>
  </si>
  <si>
    <t>Partida</t>
  </si>
  <si>
    <t>m³</t>
  </si>
  <si>
    <t>Excavació de rases per instal·lacions fins a una profunditat de 2 m, en qualsevol tipus de terreny, amb mitjans manuals, i carga manual a camió.</t>
  </si>
  <si>
    <t>Excavació de rases per instal·lacions fins a una profunditat de 2 m, en qualsevol tipus de terreny, amb mitjans manuals, i carga manual a camió.
Inclou: Replanteig general i fixació dels punts i nivells de referència. Col·locació de les lliteres en els cantons i extrems de les alineacions. Excavació en successives rases horitzontals i extracció de terres. Refinat de fons amb extracció de les terres. Càrrega manual a camió dels materials excavats.
Criteri d'amidament de projecte: Volum mesurat sobre les seccions teòriques de l'excavació, segons documentació gràfica de Projecte, sense duplicar cantonades ni encontres.
Criteri de mesura d'obra: Es mesurarà el volum teòric executat segons especificacions de Projecte, sense duplicar cantonades ni encontres i sense incloure els increments per excessos d'excavació no autoritzats, ni el reblert necessari per a reconstruir la secció teòrica per defectes imputables al Contractista. Es mesurarà l'excavació una vegada realitzada i abans que sobre ella s'efectuï cap tipus de reblert. Si el Contractista tanqués l'excavació abans de conformat l'amidament, s'entendrà que s'avé al que unilateralment determini el director de l'execució de l'obra.
Criteri de valoració econòmica: El preu no inclou el transport dels materials excavats.</t>
  </si>
  <si>
    <t>mo113</t>
  </si>
  <si>
    <t>Mà d'obra</t>
  </si>
  <si>
    <t>h</t>
  </si>
  <si>
    <t>Peó ordinari construcció.</t>
  </si>
  <si>
    <t>%</t>
  </si>
  <si>
    <t>%</t>
  </si>
  <si>
    <t>Costos directes complementaris</t>
  </si>
  <si>
    <t>ADE010b</t>
  </si>
  <si>
    <t>ADR010</t>
  </si>
  <si>
    <t>Partida</t>
  </si>
  <si>
    <t>m³</t>
  </si>
  <si>
    <t>Reblert envoltant i principal de rases per instal·lacions, amb terra seleccionada procedent de la pròpia excavació i compactació en tongades successives de 20 cm d'espessor màxim amb picó vibrant de guiat manual, fins a assolir una densitat seca no inferior al 95% de la màxima obtinguda en l'assaig Proctor Modificat, realitzat segons UNE 103501. Inclús cinta o distintiu indicador de la instal·lació.</t>
  </si>
  <si>
    <t>Reblert envoltant i principal de rases per instal·lacions, amb terra seleccionada procedent de la pròpia excavació i compactació en tongades successives de 20 cm d'espessor màxim amb picó vibrant de guiat manual, fins a assolir una densitat seca no inferior al 95% de la màxima obtinguda en l'assaig Proctor Modificat, realitzat segons UNE 103501. Inclús cinta o distintiu indicador de la instal·lació.
Inclou: Estesa del material de reblert en tongades d'espessor uniforme. Humectació o dessecació de cada tongada. Col·locació de cinta o distintiu indicador de la instal·lació. Compactació.
Criteri d'amidament de projecte: Volum mesurat sobre les seccions teòriques de l'excavació, segons documentació gràfica de Projecte.
Criteri de mesura d'obra: Es mesurarà, en perfil compactat, el volum realment executat segons especificacions de Projecte, sense incloure els increments per excessos d'excavació no autoritzats.
Criteri de valoració econòmica: El preu no inclou la realització de l'assaig Proctor Modificat.</t>
  </si>
  <si>
    <t>Uts.</t>
  </si>
  <si>
    <t>Llargada</t>
  </si>
  <si>
    <t>Amplada</t>
  </si>
  <si>
    <t>Alçada</t>
  </si>
  <si>
    <t>Parcial</t>
  </si>
  <si>
    <t>Subtotal</t>
  </si>
  <si>
    <t>Creuaments de carrers C4</t>
  </si>
  <si>
    <t>Rasa panot C4</t>
  </si>
  <si>
    <t>mt01var010</t>
  </si>
  <si>
    <t>Material</t>
  </si>
  <si>
    <t>m</t>
  </si>
  <si>
    <t>Cinta plastificada.</t>
  </si>
  <si>
    <t>mq04dua020b</t>
  </si>
  <si>
    <t>Maquinària</t>
  </si>
  <si>
    <t>h</t>
  </si>
  <si>
    <t>Dúmper de descàrrega frontal de 2 t de càrrega útil.</t>
  </si>
  <si>
    <t>mq02rop020</t>
  </si>
  <si>
    <t>Maquinària</t>
  </si>
  <si>
    <t>h</t>
  </si>
  <si>
    <t>Picó vibrant de guiat manual, de 80 kg, amb placa de 30x30 cm, tipus piconadora de granota.</t>
  </si>
  <si>
    <t>mq02cia020j</t>
  </si>
  <si>
    <t>Maquinària</t>
  </si>
  <si>
    <t>h</t>
  </si>
  <si>
    <t>Camió cisterna, de 8 m³ de capacitat.</t>
  </si>
  <si>
    <t>mq04cab010c</t>
  </si>
  <si>
    <t>Maquinària</t>
  </si>
  <si>
    <t>h</t>
  </si>
  <si>
    <t>Camió basculant de 12 t de càrrega, de 162 kW.</t>
  </si>
  <si>
    <t>mo113</t>
  </si>
  <si>
    <t>Mà d'obra</t>
  </si>
  <si>
    <t>h</t>
  </si>
  <si>
    <t>Peó ordinari construcció.</t>
  </si>
  <si>
    <t>%</t>
  </si>
  <si>
    <t>%</t>
  </si>
  <si>
    <t>Costos directes complementaris</t>
  </si>
  <si>
    <t>ADR010</t>
  </si>
  <si>
    <t>UXH010</t>
  </si>
  <si>
    <t>Partida</t>
  </si>
  <si>
    <t>m²</t>
  </si>
  <si>
    <t>Enrajolat de llosetas de formigó per a ús exterior, de 4 pastilles, resistència a flexió T, càrrega de ruptura 3, resistència al desgast G, 20x20x3 cm, gris, per ús públic en exteriors en zona de voreres i passeigs, col·locades a l'estès sobre capa de sorra-ciment; tot allò realitzat sobre solera de formigó no estructural (HNE-20/P/20), de 30 cm d'espessor, abocament des de camió amb estès i vibrat manual amb regla vibrant de 3 m, amb acabat reglejat.</t>
  </si>
  <si>
    <t>Subministrament i col·locació de paviment per a ús públic en zona de voreres i passeigs, de llosetas de formigó per a ús exterior, de 4 pastilles, classe resistent a flexió T, classe resistent segons la càrrega de ruptura 3, classe de desgast per abrasió G, format nominal 20x20x3 cm, color gris, segons UNE-EN 1339, col·locades a l'estès sobre capa de sorra-ciment de 3 cm de gruix, sense additius, amb 250 kg/m³ de ciment Pòrtland amb calcària CEM II/B-L 32,5 R i sorra de cantera granítica, deixant entre elles una junta de separació de entre 1,5 i 3 mm. Tot això realitzat sobre ferm compost per solera de formigó no estructural (HNE-20/P/20), de 30 cm d'espessor, abocament des de camió amb estès i vibrat manual amb regla vibrant de 3 m, amb acabat reglejat executada segons pendents del projecte i col·locat sobre explanada amb índex CBR &gt; 5 (California Bearing Ratio), no inclosa en aquest preu. Inclús juntes estructurals i de dilatació, talls a realitzar per ajustar-les als cantells del confinament o a les intrusions existents en el paviment i reblert de juntes amb beurada de ciment 1/2 CEM II/B-P 32,5 R, acolorida amb la mateixa tonalitat de les peces.
Inclou: Replanteig de mestres i nivells. Abocament i compactació de la solera de formigó. Estesa de la capa de sorra-ciment. Espolsada amb ciment de la superfície. Col·locació a l'estesa de les peces. Formació de juntes i trobades. Neteja del paviment i les juntes. Preparació i estesa de la beurada líquida per a reblert de junts. Neteja final amb aigua, sense eliminar el material de rejuntat.
Criteri d'amidament de projecte: Superfície mesurada en projecció horitzontal, segons documentació gràfica de Projecte, deduint els buits de superfície major de 1,5 m². No s'han tingut en compte les escapçadures com factor d'influència per incrementar l'amidament, cada vegada que en la descomposició s'ha considerat el tant per cent de ruptures general.
Criteri de mesura d'obra: Es mesurarà, en projecció horitzontal, la superfície realment executada segons especificacions de Projecte, deduint els buits de superfície major de 1,5 m².</t>
  </si>
  <si>
    <t>Uts.</t>
  </si>
  <si>
    <t>Llargada</t>
  </si>
  <si>
    <t>Amplada</t>
  </si>
  <si>
    <t>Alçada</t>
  </si>
  <si>
    <t>Parcial</t>
  </si>
  <si>
    <t>Subtotal</t>
  </si>
  <si>
    <t>Rasa panot C4</t>
  </si>
  <si>
    <t>Llumeneres antigues</t>
  </si>
  <si>
    <t>0</t>
  </si>
  <si>
    <t>mt10hmf011Bc</t>
  </si>
  <si>
    <t>Material</t>
  </si>
  <si>
    <t>m³</t>
  </si>
  <si>
    <t>Formigó no estructural HNE-20/P/20, fabricat en central.</t>
  </si>
  <si>
    <t>mt09mcr300b</t>
  </si>
  <si>
    <t>Material</t>
  </si>
  <si>
    <t>m³</t>
  </si>
  <si>
    <t>Sorra-ciment, sense additius, amb 250 kg/m³ de ciment Pòrtland CEM II/B-L 32,5 R i sorra de pedrera granítica, confeccionat en obra.</t>
  </si>
  <si>
    <t>mt08cem011a</t>
  </si>
  <si>
    <t>Material</t>
  </si>
  <si>
    <t>kg</t>
  </si>
  <si>
    <t>Ciment Pòrtland CEM II/B-L 32,5 R, color gris, en sacs, segons UNE-EN 197-1.</t>
  </si>
  <si>
    <t>mt18bhi010aa</t>
  </si>
  <si>
    <t>Material</t>
  </si>
  <si>
    <t>m²</t>
  </si>
  <si>
    <t>Lloseta de formigó per a ús exterior, de 4 pastilles, classe resistent a flexió T, classe resistent segons la càrrega de ruptura 3, classe de desgast per abrasió G, format nominal 20x20x3 cm, color gris, segons UNE-EN 1339.</t>
  </si>
  <si>
    <t>mt09lec020a</t>
  </si>
  <si>
    <t>Material</t>
  </si>
  <si>
    <t>m³</t>
  </si>
  <si>
    <t>Beurada de ciment 1/2 CEM II/B-P 32,5 N.</t>
  </si>
  <si>
    <t>mq04dua020b</t>
  </si>
  <si>
    <t>Maquinària</t>
  </si>
  <si>
    <t>h</t>
  </si>
  <si>
    <t>Dúmper de descàrrega frontal de 2 t de càrrega útil.</t>
  </si>
  <si>
    <t>mq06vib020</t>
  </si>
  <si>
    <t>Maquinària</t>
  </si>
  <si>
    <t>h</t>
  </si>
  <si>
    <t>Regla vibrant de 3 m.</t>
  </si>
  <si>
    <t>mo041</t>
  </si>
  <si>
    <t>Mà d'obra</t>
  </si>
  <si>
    <t>h</t>
  </si>
  <si>
    <t>Oficial 1ª construcció d'obra civil.</t>
  </si>
  <si>
    <t>mo087</t>
  </si>
  <si>
    <t>Mà d'obra</t>
  </si>
  <si>
    <t>h</t>
  </si>
  <si>
    <t>Ajudant construcció d'obra civil.</t>
  </si>
  <si>
    <t>%</t>
  </si>
  <si>
    <t>%</t>
  </si>
  <si>
    <t>Costos directes complementaris</t>
  </si>
  <si>
    <t>UXH010</t>
  </si>
  <si>
    <t>UXF010</t>
  </si>
  <si>
    <t>Partida</t>
  </si>
  <si>
    <t>m²</t>
  </si>
  <si>
    <t>Capa de 5 cm d'espessor de mescla bituminosa contínua en calent AC16 surf D, per a capa de rodolament, de composició densa, amb àrid granític de 16 mm de grandària màxima i betum asfàltic millorat amb cautxú.</t>
  </si>
  <si>
    <t>Capa de 5 cm d'espessor de mescla bituminosa contínua en calent AC16 surf D, per a capa de rodolament, de composició densa, amb àrid granític de 16 mm de grandària màxima i betum asfàltic millorat amb cautxú.
Inclou: Replanteig de nivells. Transport de la mescla bituminosa. Extensió de la mescla bituminosa. Compactació de la capa de mescla bituminosa. Execució de juntes transversals i longitudinals en la capa de mescla bituminosa. Neteja final.
Criteri d'amidament de projecte: Superfície mesurada en projecció horitzontal, segons documentació gràfica de Projecte.
Criteri de mesura d'obra: Es mesurarà, en projecció horitzontal, la superfície realment executada segons especificacions de Projecte.
Criteri de valoració econòmica: El preu no inclou la capa base.</t>
  </si>
  <si>
    <t>Uts.</t>
  </si>
  <si>
    <t>Llargada</t>
  </si>
  <si>
    <t>Amplada</t>
  </si>
  <si>
    <t>Alçada</t>
  </si>
  <si>
    <t>Parcial</t>
  </si>
  <si>
    <t>Subtotal</t>
  </si>
  <si>
    <t>Creuaments de carrers C4</t>
  </si>
  <si>
    <t>mt47aag020ab</t>
  </si>
  <si>
    <t>Material</t>
  </si>
  <si>
    <t>t</t>
  </si>
  <si>
    <t>Mescla bituminosa contínua en calent AC16 surf D, per a capa de rodolament, de composició densa, amb àrid granític de 16 mm de grandària màxima i betum asfàltic millorat amb cautxú, segons UNE-EN 13108-1.</t>
  </si>
  <si>
    <t>mq11ext030</t>
  </si>
  <si>
    <t>Maquinària</t>
  </si>
  <si>
    <t>h</t>
  </si>
  <si>
    <t>Estenedora asfàltica de cadenes, de 81 kW.</t>
  </si>
  <si>
    <t>mq02ron010a</t>
  </si>
  <si>
    <t>Maquinària</t>
  </si>
  <si>
    <t>h</t>
  </si>
  <si>
    <t>Corró vibrant tàndem autopropulsat, de 24,8 kW, de 2450 kg, amplada de treball 100 cm.</t>
  </si>
  <si>
    <t>mq11com010</t>
  </si>
  <si>
    <t>Maquinària</t>
  </si>
  <si>
    <t>h</t>
  </si>
  <si>
    <t>Compactador de pneumàtics autopropulsat, de 12/22 t.</t>
  </si>
  <si>
    <t>mo041</t>
  </si>
  <si>
    <t>Mà d'obra</t>
  </si>
  <si>
    <t>h</t>
  </si>
  <si>
    <t>Oficial 1ª construcció d'obra civil.</t>
  </si>
  <si>
    <t>mo087</t>
  </si>
  <si>
    <t>Mà d'obra</t>
  </si>
  <si>
    <t>h</t>
  </si>
  <si>
    <t>Ajudant construcció d'obra civil.</t>
  </si>
  <si>
    <t>%</t>
  </si>
  <si>
    <t>%</t>
  </si>
  <si>
    <t>Costos directes complementaris</t>
  </si>
  <si>
    <t>UXF010</t>
  </si>
  <si>
    <t>UIA010</t>
  </si>
  <si>
    <t>Partida</t>
  </si>
  <si>
    <t>UT</t>
  </si>
  <si>
    <t>Pericó de connexió elèctrica, prefabricat de formigó, sense fons, registrable, de 40x40x60 cm de mesures interiors, amb parets rebaixades per a l'entrada de tubs, capaç de suportar una càrrega de 400 kN, amb marc de xapa galvanitzada i tapa de fundició ductil, per a pericó de connexió elèctrica, capaç de suportar una càrrega de 125 kN; prèvia excavació amb mitjans mecànics i posterior reomplert de l'extradós amb material granular.</t>
  </si>
  <si>
    <t>Pericó de connexió elèctrica, prefabricat de formigó, sense fons, registrable, de 40x40x60 cm de mesures interiors, amb parets rebaixades per a l'entrada de tubs, capaç de suportar una càrrega de 400 kN, amb marc de xapa galvanitzada i tapa de fundició ductil, per a pericó de connexió elèctrica, capaç de suportar una càrrega de 125 kN; prèvia excavació amb mitjans mecànics i posterior reomplert de l'extradós amb material granular.
Inclou: Replanteig. Excavació amb mitjans mecànics. Eliminació de les terres soltes del fons de l'excavació. Col·locació de l'arqueta prefabricada. Execució de forats per a connexionat de tubs. Connexionat dels tubs al pericó. Col·locació de la tapa i els accessoris. Reblert de l'extradós.
Criteri d'amidament de projecte: Nombre d'unitats previstes, segons documentació gràfica de Projecte.
Criteri de mesura d'obra: Es mesurarà el nombre d'unitats realment executades segons especificacions de Projecte.</t>
  </si>
  <si>
    <t>Uts.</t>
  </si>
  <si>
    <t>Llargada</t>
  </si>
  <si>
    <t>Amplada</t>
  </si>
  <si>
    <t>Alçada</t>
  </si>
  <si>
    <t>Parcial</t>
  </si>
  <si>
    <t>Subtotal</t>
  </si>
  <si>
    <t>Pericó C4</t>
  </si>
  <si>
    <t>mt35arg100c</t>
  </si>
  <si>
    <t>Material</t>
  </si>
  <si>
    <t>U</t>
  </si>
  <si>
    <t>Pericó de connexió elèctrica, prefabricat de formigó, sense fons, registrable, de 40x40x60 cm de mesures interiors, amb parets rebaixades per a l'entrada de tubs, capaç de suportar una càrrega de 400 kN.</t>
  </si>
  <si>
    <t>mt35arg105b</t>
  </si>
  <si>
    <t>Material</t>
  </si>
  <si>
    <t>U</t>
  </si>
  <si>
    <t>Marc de xapa galvanitzada i tapa de fundició ductil, per a pericó de connexió elèctrica, capaç de suportar una càrrega de 125 kN.</t>
  </si>
  <si>
    <t>mt01arr010a</t>
  </si>
  <si>
    <t>Material</t>
  </si>
  <si>
    <t>t</t>
  </si>
  <si>
    <t>Grava de pedrera, de 19 a 25 mm de diàmetre.</t>
  </si>
  <si>
    <t>mq01ret020b</t>
  </si>
  <si>
    <t>Maquinària</t>
  </si>
  <si>
    <t>h</t>
  </si>
  <si>
    <t>Retrocarregadora sobre pneumàtics, de 70 kW.</t>
  </si>
  <si>
    <t>mo041</t>
  </si>
  <si>
    <t>Mà d'obra</t>
  </si>
  <si>
    <t>h</t>
  </si>
  <si>
    <t>Oficial 1ª construcció d'obra civil.</t>
  </si>
  <si>
    <t>mo087</t>
  </si>
  <si>
    <t>Mà d'obra</t>
  </si>
  <si>
    <t>h</t>
  </si>
  <si>
    <t>Ajudant construcció d'obra civil.</t>
  </si>
  <si>
    <t>%</t>
  </si>
  <si>
    <t>%</t>
  </si>
  <si>
    <t>Costos directes complementaris</t>
  </si>
  <si>
    <t>UIA010</t>
  </si>
  <si>
    <t>UXB020</t>
  </si>
  <si>
    <t>Partida</t>
  </si>
  <si>
    <t>m</t>
  </si>
  <si>
    <t>Vorada - Recta - MC - A1 (20x14) - B- H - S(R-3,5) - UNE-EN 1340, col·locat sobre base de formigó no estructural (HNE-20/P/20) de 20 cm d'espessor i rejuntat amb morter de ciment, industrial, M-5.</t>
  </si>
  <si>
    <t>Peces de vorada recta de formigó, monocapa, amb secció normalitzada de vianants A1 (20x14) cm, classe climàtica B (absorció &lt;=6%), classe resistent a l'abrasió H (petjada &lt;=23 mm) i classe resistent a flexió S (R-3,5 N/mm²), de 50 cm de longitud, segons UNE-EN 1340 i UNE 127340, col·locades sobre base de formigó no estructural (HNE-20/P/20) de gruix uniforme de 20 cm i 10 cm d'amplada a cada costat del vorera, abocament des de camió, estès i vibrat, amb acabat reglejat, segons pendents del projecte i col·locat sobre explanada amb índex CBR &gt; 5 (California Bearing Ratio), no inclosa en aquest preu; posterior ajuntant d'amplada màxima 5 mm amb morter de ciment, industrial, M-5. Inclús topalls o contraforts de 1/3 i 2/3 de l'altura de la vorera, del costat de la calçada i al revers respectivament, amb un mínim de 10 cm, excepte en el cas de paviments flexibles.
Inclou: Replanteig d'alineacions i nivells. Abocament i estès de formigó en llit de suport. Col·locació, rebut i anivellació de les peces, incloent-hi topalls o contraforts. Reomplert de junts amb morter de ciment.
Criteri d'amidament de projecte: Longitud mesurada segons documentació gràfica de Projecte.
Criteri de mesura d'obra: Es mesurarà la longitud realment executada segons especificacions de Projecte.</t>
  </si>
  <si>
    <t>mt10hmf011Bc</t>
  </si>
  <si>
    <t>Material</t>
  </si>
  <si>
    <t>m³</t>
  </si>
  <si>
    <t>Formigó no estructural HNE-20/P/20, fabricat en central.</t>
  </si>
  <si>
    <t>mt08aaa010a</t>
  </si>
  <si>
    <t>Material</t>
  </si>
  <si>
    <t>m³</t>
  </si>
  <si>
    <t>Aigua.</t>
  </si>
  <si>
    <t>mt09mif010ca</t>
  </si>
  <si>
    <t>Material</t>
  </si>
  <si>
    <t>t</t>
  </si>
  <si>
    <t>Morter industrial per a obra de paleta, de ciment, color gris, categoria M-5 (resistència a compressió 5 N/mm²), subministrat en sacs, segons UNE-EN 998-2.</t>
  </si>
  <si>
    <t>mt18jbg010aa</t>
  </si>
  <si>
    <t>Material</t>
  </si>
  <si>
    <t>U</t>
  </si>
  <si>
    <t>Vorada recta de formigó, monocapa, amb secció normalitzada de vianants A1 (20x14) cm, classe climàtica B (absorció &lt;=6%), classe resistent a l'abrasió H (petjada &lt;=23 mm) i classe resistent a flexió S (R-3,5 N/mm²), de 50 cm de longitud, segons UNE-EN 1340 i UNE 127340.</t>
  </si>
  <si>
    <t>mo041</t>
  </si>
  <si>
    <t>Mà d'obra</t>
  </si>
  <si>
    <t>h</t>
  </si>
  <si>
    <t>Oficial 1ª construcció d'obra civil.</t>
  </si>
  <si>
    <t>mo087</t>
  </si>
  <si>
    <t>Mà d'obra</t>
  </si>
  <si>
    <t>h</t>
  </si>
  <si>
    <t>Ajudant construcció d'obra civil.</t>
  </si>
  <si>
    <t>%</t>
  </si>
  <si>
    <t>%</t>
  </si>
  <si>
    <t>Costos directes complementaris</t>
  </si>
  <si>
    <t>UXB020</t>
  </si>
  <si>
    <t>AVC043</t>
  </si>
  <si>
    <t>Partida</t>
  </si>
  <si>
    <t>ml</t>
  </si>
  <si>
    <t>Tub rígid de PVC, de 160 mm de diàmetre nominal, aïllant i no propagador de la flama, amb una resistència a l'impacte de 15 J, resistència a compressió de 250 N, de 2,2 mm de gruix, amb unió encolada i com a canalització soterrada</t>
  </si>
  <si>
    <t>Tub rígid de PVC, de 160 mm de diàmetre nominal, aïllant i no propagador de la flama, amb una resistència a l'impacte de 15 J, resistència a compressió de 250 N, de 2,2 mm de gruix, amb unió encolada i com a canalització soterrada</t>
  </si>
  <si>
    <t>Uts.</t>
  </si>
  <si>
    <t>Llargada</t>
  </si>
  <si>
    <t>Amplada</t>
  </si>
  <si>
    <t>Alçada</t>
  </si>
  <si>
    <t>Parcial</t>
  </si>
  <si>
    <t>Subtotal</t>
  </si>
  <si>
    <t>Creuaments de carrers C4</t>
  </si>
  <si>
    <t>0</t>
  </si>
  <si>
    <t>enl043</t>
  </si>
  <si>
    <t>Material</t>
  </si>
  <si>
    <t>ML</t>
  </si>
  <si>
    <t>Tub rígid de PVC, de 160 mm de diàmetre nominal, aïllant i no propagador de la flama, amb una resistència a l'impacte de 15 J, resistència a compressió de 250 N, de 2,2 mm de gruix, amb unió encolada.</t>
  </si>
  <si>
    <t>mo003</t>
  </si>
  <si>
    <t>Mà d'obra</t>
  </si>
  <si>
    <t>h</t>
  </si>
  <si>
    <t>Oficial 1ª electricista.</t>
  </si>
  <si>
    <t>mo102</t>
  </si>
  <si>
    <t>Mà d'obra</t>
  </si>
  <si>
    <t>h</t>
  </si>
  <si>
    <t>Ajudant electricista.</t>
  </si>
  <si>
    <t>AVC043</t>
  </si>
  <si>
    <t>IEO010</t>
  </si>
  <si>
    <t>Partida</t>
  </si>
  <si>
    <t>m</t>
  </si>
  <si>
    <t>Canalització de tub corbable, subministrat en rotllo, de polietilè de doble paret (interior llisa i exterior corrugada), de color taronja, de 90 mm de diàmetre nominal, resistència a la compressió 450 N, col·locat sobre llit de sorra de 5 cm d'espessor, degudament compactada i anivellada amb picó vibrant de guiat manual, reblert lateral compactant fins als ronyons i posterior reblert amb la mateixa sorra fins a 10 cm per sobre de la generatriu superior de la canonada. Instal·lació soterrada. Inclús cinta de senyalització.</t>
  </si>
  <si>
    <t>Canalització de tub corbable, subministrat en rotllo, de polietilè de doble paret (interior llisa i exterior corrugada), de color taronja, de 90 mm de diàmetre nominal, resistència a la compressió 450 N, col·locat sobre llit de sorra de 5 cm d'espessor, degudament compactada i anivellada amb picó vibrant de guiat manual, reblert lateral compactant fins als ronyons i posterior reblert amb la mateixa sorra fins a 10 cm per sobre de la generatriu superior de la canonada. Instal·lació soterrada. Inclús cinta de senyalització.
Inclou: Replanteig. Execució del llit de sorra per a seient del tub. Col·locació del tub. Col·locació de la cinta de senyalització. Execució del reblert envoltant de sorra.
Criteri d'amidament de projecte: Longitud mesurada segons documentació gràfica de Projecte.
Criteri de mesura d'obra: Es mesurarà la longitud realment executada segons especificacions de Projecte.
Criteri de valoració econòmica: El preu inclou els equips i la maquinària necessaris per al desplaçament i la disposició en obra dels elements, però no inclou l'excavació ni el reblert principal.</t>
  </si>
  <si>
    <t>Uts.</t>
  </si>
  <si>
    <t>Llargada</t>
  </si>
  <si>
    <t>Amplada</t>
  </si>
  <si>
    <t>Alçada</t>
  </si>
  <si>
    <t>Parcial</t>
  </si>
  <si>
    <t>Subtotal</t>
  </si>
  <si>
    <t>Rasa panot C4</t>
  </si>
  <si>
    <t>Pericó C4</t>
  </si>
  <si>
    <t>mt01ara010</t>
  </si>
  <si>
    <t>Material</t>
  </si>
  <si>
    <t>m³</t>
  </si>
  <si>
    <t>Sorra de 0 a 5 mm de diàmetre.</t>
  </si>
  <si>
    <t>mt35aia070ae</t>
  </si>
  <si>
    <t>Material</t>
  </si>
  <si>
    <t>m</t>
  </si>
  <si>
    <t>Tub corbable, subministrat en rotllo, de polietilè de doble paret (interior llisa i exterior corrugada), de color taronja, de 90 mm de diàmetre nominal, per a canalització soterrada, resistència a la compressió 450 N, resistència a l'impacte 20 joules, amb grau de protecció IP549 segons UNE 20324, amb fil guia incorporat. Segons UNE-EN 61386-1, UNE-EN 61386-22 i UNE-EN 50086-2-4.</t>
  </si>
  <si>
    <t>mt35www030</t>
  </si>
  <si>
    <t>Material</t>
  </si>
  <si>
    <t>m</t>
  </si>
  <si>
    <t>Cinta de senyalització de polietilè, de 150 mm d'amplada, color groc, amb l'inscripció "ATENCIÓ! A SOTA HI HA CABLES ELÈCTRICS" i triangle de risc elèctric.</t>
  </si>
  <si>
    <t>mq04dua020b</t>
  </si>
  <si>
    <t>Maquinària</t>
  </si>
  <si>
    <t>h</t>
  </si>
  <si>
    <t>Dúmper de descàrrega frontal de 2 t de càrrega útil.</t>
  </si>
  <si>
    <t>mq02rop020</t>
  </si>
  <si>
    <t>Maquinària</t>
  </si>
  <si>
    <t>h</t>
  </si>
  <si>
    <t>Picó vibrant de guiat manual, de 80 kg, amb placa de 30x30 cm, tipus piconadora de granota.</t>
  </si>
  <si>
    <t>mq02cia020j</t>
  </si>
  <si>
    <t>Maquinària</t>
  </si>
  <si>
    <t>h</t>
  </si>
  <si>
    <t>Camió cisterna, de 8 m³ de capacitat.</t>
  </si>
  <si>
    <t>mo020</t>
  </si>
  <si>
    <t>Mà d'obra</t>
  </si>
  <si>
    <t>h</t>
  </si>
  <si>
    <t>Oficial 1ª construcció.</t>
  </si>
  <si>
    <t>mo113</t>
  </si>
  <si>
    <t>Mà d'obra</t>
  </si>
  <si>
    <t>h</t>
  </si>
  <si>
    <t>Peó ordinari construcció.</t>
  </si>
  <si>
    <t>mo003</t>
  </si>
  <si>
    <t>Mà d'obra</t>
  </si>
  <si>
    <t>h</t>
  </si>
  <si>
    <t>Oficial 1ª electricista.</t>
  </si>
  <si>
    <t>mo102</t>
  </si>
  <si>
    <t>Mà d'obra</t>
  </si>
  <si>
    <t>h</t>
  </si>
  <si>
    <t>Ajudant electricista.</t>
  </si>
  <si>
    <t>%</t>
  </si>
  <si>
    <t>%</t>
  </si>
  <si>
    <t>Costos directes complementaris</t>
  </si>
  <si>
    <t>IEO010</t>
  </si>
  <si>
    <t>GTA010b</t>
  </si>
  <si>
    <t>Partida</t>
  </si>
  <si>
    <t>U</t>
  </si>
  <si>
    <t>Transport de terres amb contenidor de 7 m³, a abocador específic, instal·lació de tractament de residus de construcció i demolició externa a l'obra o centre de valorització o eliminació de residus. També servei de lliurament, lloguer i recollida en obra del contenidor.</t>
  </si>
  <si>
    <t>Transport de terres amb contenidor de 7 m³, a abocador específic, instal·lació de tractament de residus de construcció i demolició externa a l'obra o centre de valorització o eliminació de residus. També servei de lliurament, lloguer i recollida en obra del contenidor.
Criteri de valoració econòmica: El preu inclou el cànon d'abocament per lliurament de residus.
Inclou: Càrrega a camió del contenidor. Transport de residus de construcció a l'abocador específic, instal·lació de tractament de residus de construcció i demolició externa a l'obra o centre de valorització o eliminació de residus.
Criteri d'amidament de projecte: Nombre d'unitats previstes, segons documentació gràfica de Projecte.
Criteri de mesura d'obra: Es mesurarà el nombre d'unitats realment transportades segons especificacions de Projecte.</t>
  </si>
  <si>
    <t>mq04res010aoc</t>
  </si>
  <si>
    <t>Maquinària</t>
  </si>
  <si>
    <t>U</t>
  </si>
  <si>
    <t>Càrrega i canvi de contenidor de 7 m³, per la recollida de terres, col·locat a obra a peu de càrrega, inclús servei de lliurament, lloguer i cànon d'abocament per lliurament de residus.</t>
  </si>
  <si>
    <t>%</t>
  </si>
  <si>
    <t>%</t>
  </si>
  <si>
    <t>Costos directes complementaris</t>
  </si>
  <si>
    <t>GTA010b</t>
  </si>
  <si>
    <t>GRA010</t>
  </si>
  <si>
    <t>Partida</t>
  </si>
  <si>
    <t>U</t>
  </si>
  <si>
    <t>Transport de residus inertes de formigons, morters i prefabricats produïts en obres de construcció i/o demolició, amb contenidor de 7 m³, a abocador específic, instal·lació de tractament de residus de construcció i demolició externa a l'obra o centre de valorització o eliminació de residus. També servei de lliurament, lloguer i recollida en obra del contenidor.</t>
  </si>
  <si>
    <t>Transport de residus inertes de formigons, morters i prefabricats produïts en obres de construcció i/o demolició, amb contenidor de 7 m³, a abocador específic, instal·lació de tractament de residus de construcció i demolició externa a l'obra o centre de valorització o eliminació de residus. També servei de lliurament, lloguer i recollida en obra del contenidor.
Inclou: Càrrega a camió del contenidor. Transport de residus de construcció a l'abocador específic, instal·lació de tractament de residus de construcció i demolició externa a l'obra o centre de valorització o eliminació de residus.
Criteri d'amidament de projecte: Nombre d'unitats previstes, segons documentació gràfica de Projecte.
Criteri de mesura d'obra: Es mesurarà el nombre d'unitats realment transportades segons especificacions de Projecte.</t>
  </si>
  <si>
    <t>mq04res010bpa</t>
  </si>
  <si>
    <t>Maquinària</t>
  </si>
  <si>
    <t>U</t>
  </si>
  <si>
    <t>Càrrega i canvi de contenidor de 7 m³, per la recollida de residus inerts de formigons, morters i prefabricats, produïts a obres de construcció i/o demolició, col·locat a obra a peu de càrrega, inclús servei de lliurament i lloguer.</t>
  </si>
  <si>
    <t>%</t>
  </si>
  <si>
    <t>%</t>
  </si>
  <si>
    <t>Costos directes complementaris</t>
  </si>
  <si>
    <t>GRA010</t>
  </si>
  <si>
    <t>GRA010b</t>
  </si>
  <si>
    <t>Partida</t>
  </si>
  <si>
    <t>U</t>
  </si>
  <si>
    <t>Transport de residus inerts metàl·lics produïts en obres de construcció i/o demolició, amb contenidor de 7 m³, a abocador específic, instal·lació de tractament de residus de construcció i demolició externa a l'obra o centre de valorització o eliminació de residus. També servei de lliurament, lloguer i recollida en obra del contenidor.</t>
  </si>
  <si>
    <t>Transport de residus inerts metàl·lics produïts en obres de construcció i/o demolició, amb contenidor de 7 m³, a abocador específic, instal·lació de tractament de residus de construcció i demolició externa a l'obra o centre de valorització o eliminació de residus. També servei de lliurament, lloguer i recollida en obra del contenidor.
Criteri de valoració econòmica: El preu inclou el cànon d'abocament per lliurament de residus.
Inclou: Càrrega a camió del contenidor. Transport de residus de construcció a l'abocador específic, instal·lació de tractament de residus de construcció i demolició externa a l'obra o centre de valorització o eliminació de residus.
Criteri d'amidament de projecte: Nombre d'unitats previstes, segons documentació gràfica de Projecte.
Criteri de mesura d'obra: Es mesurarà el nombre d'unitats realment transportades segons especificacions de Projecte.</t>
  </si>
  <si>
    <t>mq04res010ioc</t>
  </si>
  <si>
    <t>Maquinària</t>
  </si>
  <si>
    <t>U</t>
  </si>
  <si>
    <t>Càrrega i canvi de contenidor de 7 m³, per la recollida de residus inerts metàl·lics produïts a obres de construcció i/o demolició, col·locat a obra a peu de càrrega, inclús servei de lliurament, lloguer i cànon d'abocament per lliurament de residus.</t>
  </si>
  <si>
    <t>%</t>
  </si>
  <si>
    <t>%</t>
  </si>
  <si>
    <t>Costos directes complementaris</t>
  </si>
  <si>
    <t>GRA010b</t>
  </si>
  <si>
    <t>SUB01</t>
  </si>
  <si>
    <t>SUB02</t>
  </si>
  <si>
    <t>Capítol</t>
  </si>
  <si>
    <t>INSTAL·LACIONS</t>
  </si>
  <si>
    <t>AVC041</t>
  </si>
  <si>
    <t>Partida</t>
  </si>
  <si>
    <t>UT</t>
  </si>
  <si>
    <t>Modificació de quadre existent QEP 314, connectant a un nou circuit les llumeneres del antic QEP 101.</t>
  </si>
  <si>
    <t>Modificació de quadre existent QEP 314, connectant a un nou circuit les llumeneres del antic QEP 101.</t>
  </si>
  <si>
    <t>IEP025</t>
  </si>
  <si>
    <t>Partida</t>
  </si>
  <si>
    <t>m</t>
  </si>
  <si>
    <t>Conductor de terra format per cable rígid nu de cobre trenat, de 35 mm² de secció.</t>
  </si>
  <si>
    <t>Conductor de terra format per cable rígid nu de cobre trenat, de 35 mm² de secció. També unions realitzades amb soldadura aluminotèrmica, grapes i borns d'unió. Completament muntat, amb connexions establertes i provat.
Inclou: Replanteig del recorregut. Estesa del conductor de terra. Connexionat del conductor de terra mitjançant borns d'unió.
Criteri d'amidament de projecte: Longitud mesurada segons documentació gràfica de Projecte.
Criteri de mesura d'obra: Es mesurarà la longitud realment executada segons especificacions de Projecte.</t>
  </si>
  <si>
    <t>Uts.</t>
  </si>
  <si>
    <t>Llargada</t>
  </si>
  <si>
    <t>Amplada</t>
  </si>
  <si>
    <t>Alçada</t>
  </si>
  <si>
    <t>Parcial</t>
  </si>
  <si>
    <t>Subtotal</t>
  </si>
  <si>
    <t>C4</t>
  </si>
  <si>
    <t>mt35ttc010b</t>
  </si>
  <si>
    <t>Material</t>
  </si>
  <si>
    <t>m</t>
  </si>
  <si>
    <t>Conductor de coure nu, de 35 mm².</t>
  </si>
  <si>
    <t>mt35www020</t>
  </si>
  <si>
    <t>Material</t>
  </si>
  <si>
    <t>U</t>
  </si>
  <si>
    <t>Material auxiliar per a instal·lacions de connexió a terra.</t>
  </si>
  <si>
    <t>mo003</t>
  </si>
  <si>
    <t>Mà d'obra</t>
  </si>
  <si>
    <t>h</t>
  </si>
  <si>
    <t>Oficial 1ª electricista.</t>
  </si>
  <si>
    <t>%</t>
  </si>
  <si>
    <t>%</t>
  </si>
  <si>
    <t>Costos directes complementaris</t>
  </si>
  <si>
    <t>IEP025</t>
  </si>
  <si>
    <t>IEP021</t>
  </si>
  <si>
    <t>Partida</t>
  </si>
  <si>
    <t>UT</t>
  </si>
  <si>
    <t>Presa de terra amb una pica d'acer courat de 2 m de longitud.</t>
  </si>
  <si>
    <t>Presa de terra composta per pica d'acer courat de 2 m de longitud, clavada en el terreny, connectada a pont per a comprovació, dintre d'una arqueta de registre de polipropilè de 30x30 cm. Fins i tot grapa abraçadora per a la connexió de l'elèctrode amb la línia d'enllaç i additius per a disminuir la resistivitat del terreny.
Inclou: Replanteig. Clavat de la pica. Col·locació de l'arqueta de registre. Connexió de l'elèctrode amb la línia d'enllaç. Conexió a la xarxa de terra. Muntatge, connexionat i comprovació del seu correcte funcionament.
Criteri d'amidament de projecte: Nombre d'unitats previstes, segons documentació gràfica de Projecte.
Criteri de mesura d'obra: Es mesurarà el nombre d'unitats realment executades segons especificacions de Projecte.
Criteri de valoració econòmica: El preu no inclou l'excavació ni el replé del extradós.</t>
  </si>
  <si>
    <t>Uts.</t>
  </si>
  <si>
    <t>Llargada</t>
  </si>
  <si>
    <t>Amplada</t>
  </si>
  <si>
    <t>Alçada</t>
  </si>
  <si>
    <t>Parcial</t>
  </si>
  <si>
    <t>Subtotal</t>
  </si>
  <si>
    <t>Quadre electric</t>
  </si>
  <si>
    <t>mt35tte010b</t>
  </si>
  <si>
    <t>Material</t>
  </si>
  <si>
    <t>U</t>
  </si>
  <si>
    <t>Elèctrode per a xarxa de connexió a terra couratge amb 300 µm, fabricat en acer, de 15 mm de diàmetre i 2 m de longitud.</t>
  </si>
  <si>
    <t>mt35ttc010b</t>
  </si>
  <si>
    <t>Material</t>
  </si>
  <si>
    <t>m</t>
  </si>
  <si>
    <t>Conductor de coure nu, de 35 mm².</t>
  </si>
  <si>
    <t>mt35tta040</t>
  </si>
  <si>
    <t>Material</t>
  </si>
  <si>
    <t>U</t>
  </si>
  <si>
    <t>Grapa abraçadora per a connexió de pica.</t>
  </si>
  <si>
    <t>mt35tta010</t>
  </si>
  <si>
    <t>Material</t>
  </si>
  <si>
    <t>U</t>
  </si>
  <si>
    <t>Pericó de polipropilè per a connexió a terra, de 300x300 mm, amb tapa de registre.</t>
  </si>
  <si>
    <t>mt35tta030</t>
  </si>
  <si>
    <t>Material</t>
  </si>
  <si>
    <t>U</t>
  </si>
  <si>
    <t>Pont per a comprovació de connexió de terra de l'instal·lació elèctrica.</t>
  </si>
  <si>
    <t>mt35tta060</t>
  </si>
  <si>
    <t>Material</t>
  </si>
  <si>
    <t>U</t>
  </si>
  <si>
    <t>Sac de 5 kg de sals minerals per a la millora de la conductivitat de posades a terra.</t>
  </si>
  <si>
    <t>mt35www020</t>
  </si>
  <si>
    <t>Material</t>
  </si>
  <si>
    <t>U</t>
  </si>
  <si>
    <t>Material auxiliar per a instal·lacions de connexió a terra.</t>
  </si>
  <si>
    <t>mo003</t>
  </si>
  <si>
    <t>Mà d'obra</t>
  </si>
  <si>
    <t>h</t>
  </si>
  <si>
    <t>Oficial 1ª electricista.</t>
  </si>
  <si>
    <t>mo102</t>
  </si>
  <si>
    <t>Mà d'obra</t>
  </si>
  <si>
    <t>h</t>
  </si>
  <si>
    <t>Ajudant electricista.</t>
  </si>
  <si>
    <t>mo113</t>
  </si>
  <si>
    <t>Mà d'obra</t>
  </si>
  <si>
    <t>h</t>
  </si>
  <si>
    <t>Peó ordinari construcció.</t>
  </si>
  <si>
    <t>%</t>
  </si>
  <si>
    <t>%</t>
  </si>
  <si>
    <t>Costos directes complementaris</t>
  </si>
  <si>
    <t>IEP021</t>
  </si>
  <si>
    <t>AVC040</t>
  </si>
  <si>
    <t>Partida</t>
  </si>
  <si>
    <t>UT</t>
  </si>
  <si>
    <t>Placa de connexió a terra d'acer, en forma d'estel (massissa), de superfície 0,3 m2, de 3 mm de gruix i soterrada</t>
  </si>
  <si>
    <t>Placa de connexió a terra d'acer, en forma d'estel (massissa), de superfície 0,3 m2, de 3 mm de gruix i soterrada</t>
  </si>
  <si>
    <t>Uts.</t>
  </si>
  <si>
    <t>Llargada</t>
  </si>
  <si>
    <t>Amplada</t>
  </si>
  <si>
    <t>Alçada</t>
  </si>
  <si>
    <t>Parcial</t>
  </si>
  <si>
    <t>Subtotal</t>
  </si>
  <si>
    <t>Bàcul C4</t>
  </si>
  <si>
    <t>enll040</t>
  </si>
  <si>
    <t>Sense classificar</t>
  </si>
  <si>
    <t>ut</t>
  </si>
  <si>
    <t>Placa de connexió a terra d'acer en forma d'estel (massissa), de 0,3 m2 de superfície i de 3 mm de gruix</t>
  </si>
  <si>
    <t>mo003</t>
  </si>
  <si>
    <t>Mà d'obra</t>
  </si>
  <si>
    <t>h</t>
  </si>
  <si>
    <t>Oficial 1ª electricista.</t>
  </si>
  <si>
    <t>mo102</t>
  </si>
  <si>
    <t>Mà d'obra</t>
  </si>
  <si>
    <t>h</t>
  </si>
  <si>
    <t>Ajudant electricista.</t>
  </si>
  <si>
    <t>mt35www020</t>
  </si>
  <si>
    <t>Material</t>
  </si>
  <si>
    <t>U</t>
  </si>
  <si>
    <t>Material auxiliar per a instal·lacions de connexió a terra.</t>
  </si>
  <si>
    <t>AVC040</t>
  </si>
  <si>
    <t>IEH010n</t>
  </si>
  <si>
    <t>Partida</t>
  </si>
  <si>
    <t>m</t>
  </si>
  <si>
    <t>Cable multipolar RV-K, sent la seva tensió assignada de 0,6/1 kV, reacció al foc classe Eca, amb conductor de coure classe 5 (-K) de 3G2,5 mm² de secció, amb aïllament de polietilè reticulat (R) i coberta de PVC (V).</t>
  </si>
  <si>
    <t>Cable multipolar RV-K, sent la seva tensió assignada de 0,6/1 kV, reacció al foc classe Eca, amb conductor de coure classe 5 (-K) de 3G2,5 mm² de secció, amb aïllament de polietilè reticulat (R) i coberta de PVC (V). Fins i tot p/p d'accessoris i elements de subjecció. Totalment muntat, connexionat i provat.
Inclou: Estesa del cable. Connexionat.
Criteri d'amidament de projecte: Longitud mesurada segons documentació gràfica de Projecte.
Criteri de mesura d'obra: Es mesurarà la longitud realment executada segons especificacions de Projecte.</t>
  </si>
  <si>
    <t>Uts.</t>
  </si>
  <si>
    <t>Llargada</t>
  </si>
  <si>
    <t>Amplada</t>
  </si>
  <si>
    <t>Alçada</t>
  </si>
  <si>
    <t>Parcial</t>
  </si>
  <si>
    <t>Subtotal</t>
  </si>
  <si>
    <t>Bàcul C4</t>
  </si>
  <si>
    <t>mt35cun030w</t>
  </si>
  <si>
    <t>Material</t>
  </si>
  <si>
    <t>m</t>
  </si>
  <si>
    <t>Cable multipolar RV-K, sent la seva tensió assignada de 0,6/1 kV, reacció al foc classe Eca segons UNE-EN 50575, amb conductor de coure classe 5 (-K) de 3G2,5 mm² de secció, amb aïllament de polietilè reticulat (R) i coberta de PVC (V). Segons UNE 21123-2.</t>
  </si>
  <si>
    <t>mo003</t>
  </si>
  <si>
    <t>Mà d'obra</t>
  </si>
  <si>
    <t>h</t>
  </si>
  <si>
    <t>Oficial 1ª electricista.</t>
  </si>
  <si>
    <t>mo102</t>
  </si>
  <si>
    <t>Mà d'obra</t>
  </si>
  <si>
    <t>h</t>
  </si>
  <si>
    <t>Ajudant electricista.</t>
  </si>
  <si>
    <t>%</t>
  </si>
  <si>
    <t>%</t>
  </si>
  <si>
    <t>Costos directes complementaris</t>
  </si>
  <si>
    <t>IEH010n</t>
  </si>
  <si>
    <t>IEH010d</t>
  </si>
  <si>
    <t>Partida</t>
  </si>
  <si>
    <t>m</t>
  </si>
  <si>
    <t>Cable unipolar RV-K, sent la seva tensió assignada de 0,6/1 kV, reacció al foc classe Eca, amb conductor de coure classe 5 (-K) de 35 mm² de secció, amb aïllament de polietilè reticulat (R) i coberta de PVC (V).</t>
  </si>
  <si>
    <t>Cable unipolar RV-K, sent la seva tensió assignada de 0,6/1 kV, reacció al foc classe Eca, amb conductor de coure classe 5 (-K) de 35 mm² de secció, amb aïllament de polietilè reticulat (R) i coberta de PVC (V). Fins i tot p/p d'accessoris i elements de subjecció. Totalment muntat, connexionat i provat.
Inclou: Estesa del cable. Connexionat.
Criteri d'amidament de projecte: Longitud mesurada segons documentació gràfica de Projecte.
Criteri de mesura d'obra: Es mesurarà la longitud realment executada segons especificacions de Projecte.</t>
  </si>
  <si>
    <t>mt35cun030g</t>
  </si>
  <si>
    <t>Material</t>
  </si>
  <si>
    <t>m</t>
  </si>
  <si>
    <t>Cable unipolar RV-K, sent la seva tensió assignada de 0,6/1 kV, reacció al foc classe Eca segons UNE-EN 50575, amb conductor de coure classe 5 (-K) de 35 mm² de secció, amb aïllament de polietilè reticulat (R) i coberta de PVC (V). Segons UNE 21123-2.</t>
  </si>
  <si>
    <t>mo003</t>
  </si>
  <si>
    <t>Mà d'obra</t>
  </si>
  <si>
    <t>h</t>
  </si>
  <si>
    <t>Oficial 1ª electricista.</t>
  </si>
  <si>
    <t>mo102</t>
  </si>
  <si>
    <t>Mà d'obra</t>
  </si>
  <si>
    <t>h</t>
  </si>
  <si>
    <t>Ajudant electricista.</t>
  </si>
  <si>
    <t>IEH010d</t>
  </si>
  <si>
    <t>IEH010h</t>
  </si>
  <si>
    <t>Partida</t>
  </si>
  <si>
    <t>m</t>
  </si>
  <si>
    <t>Cable multipolar RV-K, sent la seva tensió assignada de 0,6/1 kV, reacció al foc classe Eca, amb conductor de coure classe 5 (-K) de 5G16 mm² de secció, amb aïllament de polietilè reticulat (R) i coberta de PVC (V).</t>
  </si>
  <si>
    <t>Cable multipolar RV-K, sent la seva tensió assignada de 0,6/1 kV, reacció al foc classe Eca, amb conductor de coure classe 5 (-K) de 5G16 mm² de secció, amb aïllament de polietilè reticulat (R) i coberta de PVC (V). Fins i tot p/p d'accessoris i elements de subjecció. Totalment muntat, connexionat i provat.
Inclou: Estesa del cable. Connexionat.
Criteri d'amidament de projecte: Longitud mesurada segons documentació gràfica de Projecte.
Criteri de mesura d'obra: Es mesurarà la longitud realment executada segons especificacions de Projecte.</t>
  </si>
  <si>
    <t>mt35cun030T</t>
  </si>
  <si>
    <t>Material</t>
  </si>
  <si>
    <t>m</t>
  </si>
  <si>
    <t>Cable multipolar RV-K, sent la seva tensió assignada de 0,6/1 kV, reacció al foc classe Eca segons UNE-EN 50575, amb conductor de coure classe 5 (-K) de 5G16 mm² de secció, amb aïllament de polietilè reticulat (R) i coberta de PVC (V). Segons UNE 21123-2.</t>
  </si>
  <si>
    <t>mo003</t>
  </si>
  <si>
    <t>Mà d'obra</t>
  </si>
  <si>
    <t>h</t>
  </si>
  <si>
    <t>Oficial 1ª electricista.</t>
  </si>
  <si>
    <t>mo102</t>
  </si>
  <si>
    <t>Mà d'obra</t>
  </si>
  <si>
    <t>h</t>
  </si>
  <si>
    <t>Ajudant electricista.</t>
  </si>
  <si>
    <t>IEH010h</t>
  </si>
  <si>
    <t>IEH010g</t>
  </si>
  <si>
    <t>Partida</t>
  </si>
  <si>
    <t>m</t>
  </si>
  <si>
    <t>Cable multipolar RV-K, sent la seva tensió assignada de 0,6/1 kV, reacció al foc classe Eca, amb conductor de coure classe 5 (-K) de 4G16 mm² de secció, amb aïllament de polietilè reticulat (R) i coberta de PVC (V).</t>
  </si>
  <si>
    <t>Cable multipolar RV-K, sent la seva tensió assignada de 0,6/1 kV, reacció al foc classe Eca, amb conductor de coure classe 5 (-K) de 4G16 mm² de secció, amb aïllament de polietilè reticulat (R) i coberta de PVC (V). Fins i tot p/p d'accessoris i elements de subjecció. Totalment muntat, connexionat i provat.
Inclou: Estesa del cable. Connexionat.
Criteri d'amidament de projecte: Longitud mesurada segons documentació gràfica de Projecte.
Criteri de mesura d'obra: Es mesurarà la longitud realment executada segons especificacions de Projecte.</t>
  </si>
  <si>
    <t>mt35cun030J</t>
  </si>
  <si>
    <t>Material</t>
  </si>
  <si>
    <t>m</t>
  </si>
  <si>
    <t>Cable multipolar RV-K, sent la seva tensió assignada de 0,6/1 kV, reacció al foc classe Eca segons UNE-EN 50575, amb conductor de coure classe 5 (-K) de 4G16 mm² de secció, amb aïllament de polietilè reticulat (R) i coberta de PVC (V). Segons UNE 21123-2.</t>
  </si>
  <si>
    <t>mo003</t>
  </si>
  <si>
    <t>Mà d'obra</t>
  </si>
  <si>
    <t>h</t>
  </si>
  <si>
    <t>Oficial 1ª electricista.</t>
  </si>
  <si>
    <t>mo102</t>
  </si>
  <si>
    <t>Mà d'obra</t>
  </si>
  <si>
    <t>h</t>
  </si>
  <si>
    <t>Ajudant electricista.</t>
  </si>
  <si>
    <t>IEH010g</t>
  </si>
  <si>
    <t>IEH010f</t>
  </si>
  <si>
    <t>Partida</t>
  </si>
  <si>
    <t>m</t>
  </si>
  <si>
    <t>Cable multipolar RV-K, sent la seva tensió assignada de 0,6/1 kV, reacció al foc classe Eca, amb conductor de coure classe 5 (-K) de 5G10 mm² de secció, amb aïllament de polietilè reticulat (R) i coberta de PVC (V).</t>
  </si>
  <si>
    <t>Cable multipolar RV-K, sent la seva tensió assignada de 0,6/1 kV, reacció al foc classe Eca, amb conductor de coure classe 5 (-K) de 5G10 mm² de secció, amb aïllament de polietilè reticulat (R) i coberta de PVC (V). Fins i tot p/p d'accessoris i elements de subjecció. Totalment muntat, connexionat i provat.
Inclou: Estesa del cable. Connexionat.
Criteri d'amidament de projecte: Longitud mesurada segons documentació gràfica de Projecte.
Criteri de mesura d'obra: Es mesurarà la longitud realment executada segons especificacions de Projecte.</t>
  </si>
  <si>
    <t>mt35cun030S</t>
  </si>
  <si>
    <t>Material</t>
  </si>
  <si>
    <t>m</t>
  </si>
  <si>
    <t>Cable multipolar RV-K, sent la seva tensió assignada de 0,6/1 kV, reacció al foc classe Eca segons UNE-EN 50575, amb conductor de coure classe 5 (-K) de 5G10 mm² de secció, amb aïllament de polietilè reticulat (R) i coberta de PVC (V). Segons UNE 21123-2.</t>
  </si>
  <si>
    <t>mo003</t>
  </si>
  <si>
    <t>Mà d'obra</t>
  </si>
  <si>
    <t>h</t>
  </si>
  <si>
    <t>Oficial 1ª electricista.</t>
  </si>
  <si>
    <t>mo102</t>
  </si>
  <si>
    <t>Mà d'obra</t>
  </si>
  <si>
    <t>h</t>
  </si>
  <si>
    <t>Ajudant electricista.</t>
  </si>
  <si>
    <t>IEH010f</t>
  </si>
  <si>
    <t>IEH010e</t>
  </si>
  <si>
    <t>Partida</t>
  </si>
  <si>
    <t>m</t>
  </si>
  <si>
    <t>Cable multipolar RV-K, sent la seva tensió assignada de 0,6/1 kV, reacció al foc classe Eca, amb conductor de coure classe 5 (-K) de 4x10 mm² de secció, amb aïllament de polietilè reticulat (R) i coberta de PVC (V).</t>
  </si>
  <si>
    <t>Cable multipolar RV-K, sent la seva tensió assignada de 0,6/1 kV, reacció al foc classe Eca, amb conductor de coure classe 5 (-K) de 4x10 mm² de secció, amb aïllament de polietilè reticulat (R) i coberta de PVC (V). Fins i tot p/p d'accessoris i elements de subjecció. Totalment muntat, connexionat i provat.
Inclou: Estesa del cable. Connexionat.
Criteri d'amidament de projecte: Longitud mesurada segons documentació gràfica de Projecte.
Criteri de mesura d'obra: Es mesurarà la longitud realment executada segons especificacions de Projecte.</t>
  </si>
  <si>
    <t>mt35cun030I</t>
  </si>
  <si>
    <t>Material</t>
  </si>
  <si>
    <t>m</t>
  </si>
  <si>
    <t>Cable multipolar RV-K, sent la seva tensió assignada de 0,6/1 kV, reacció al foc classe Eca segons UNE-EN 50575, amb conductor de coure classe 5 (-K) de 4x10 mm² de secció, amb aïllament de polietilè reticulat (R) i coberta de PVC (V). Segons UNE 21123-2.</t>
  </si>
  <si>
    <t>mo003</t>
  </si>
  <si>
    <t>Mà d'obra</t>
  </si>
  <si>
    <t>h</t>
  </si>
  <si>
    <t>Oficial 1ª electricista.</t>
  </si>
  <si>
    <t>mo102</t>
  </si>
  <si>
    <t>Mà d'obra</t>
  </si>
  <si>
    <t>h</t>
  </si>
  <si>
    <t>Ajudant electricista.</t>
  </si>
  <si>
    <t>IEH010e</t>
  </si>
  <si>
    <t>IEH010c</t>
  </si>
  <si>
    <t>Partida</t>
  </si>
  <si>
    <t>m</t>
  </si>
  <si>
    <t>Cable multipolar RV-K, sent la seva tensió assignada de 0,6/1 kV, reacció al foc classe Eca, amb conductor de coure classe 5 (-K) de 5G6 mm² de secció, amb aïllament de polietilè reticulat (R) i coberta de PVC (V). Col.locat en tub.</t>
  </si>
  <si>
    <t>Cable multipolar RV-K, sent la seva tensió assignada de 0,6/1 kV, reacció al foc classe Eca, amb conductor de coure classe 5 (-K) de 5G6 mm² de secció, amb aïllament de polietilè reticulat (R) i coberta de PVC (V). Fins i tot p/p d'accessoris i elements de subjecció. Col.locat en tub.
Inclou: Estesa del cable. Connexionat.
Criteri d'amidament de projecte: Longitud mesurada segons documentació gràfica de Projecte.
Criteri de mesura d'obra: Es mesurarà la longitud realment executada segons especificacions de Projecte.</t>
  </si>
  <si>
    <t>mt35cun030R</t>
  </si>
  <si>
    <t>Material</t>
  </si>
  <si>
    <t>m</t>
  </si>
  <si>
    <t>Cable multipolar RV-K, sent la seva tensió assignada de 0,6/1 kV, reacció al foc classe Eca segons UNE-EN 50575, amb conductor de coure classe 5 (-K) de 5G6 mm² de secció, amb aïllament de polietilè reticulat (R) i coberta de PVC (V). Segons UNE 21123-2.</t>
  </si>
  <si>
    <t>mo003</t>
  </si>
  <si>
    <t>Mà d'obra</t>
  </si>
  <si>
    <t>h</t>
  </si>
  <si>
    <t>Oficial 1ª electricista.</t>
  </si>
  <si>
    <t>mo102</t>
  </si>
  <si>
    <t>Mà d'obra</t>
  </si>
  <si>
    <t>h</t>
  </si>
  <si>
    <t>Ajudant electricista.</t>
  </si>
  <si>
    <t>IEH010c</t>
  </si>
  <si>
    <t>IEH010b</t>
  </si>
  <si>
    <t>Partida</t>
  </si>
  <si>
    <t>m</t>
  </si>
  <si>
    <t>Cable multipolar RV-K, sent la seva tensió assignada de 0,6/1 kV, reacció al foc classe Eca, amb conductor de coure classe 5 (-K) de 4x6 mm² de secció, amb aïllament de polietilè reticulat (R) i coberta de PVC (V). Col.locat en tub.</t>
  </si>
  <si>
    <t>Cable multipolar RV-K, sent la seva tensió assignada de 0,6/1 kV, reacció al foc classe Eca, amb conductor de coure classe 5 (-K) de 4x6 mm² de secció, amb aïllament de polietilè reticulat (R) i coberta de PVC (V). Fins i tot p/p d'accessoris i elements de subjecció. Col.locat en tub.
Inclou: Estesa del cable. Connexionat.
Criteri d'amidament de projecte: Longitud mesurada segons documentació gràfica de Projecte.
Criteri de mesura d'obra: Es mesurarà la longitud realment executada segons especificacions de Projecte.</t>
  </si>
  <si>
    <t>Uts.</t>
  </si>
  <si>
    <t>Llargada</t>
  </si>
  <si>
    <t>Amplada</t>
  </si>
  <si>
    <t>Alçada</t>
  </si>
  <si>
    <t>Parcial</t>
  </si>
  <si>
    <t>Subtotal</t>
  </si>
  <si>
    <t>C4</t>
  </si>
  <si>
    <t>mt35cun030G</t>
  </si>
  <si>
    <t>Material</t>
  </si>
  <si>
    <t>m</t>
  </si>
  <si>
    <t>Cable multipolar RV-K, sent la seva tensió assignada de 0,6/1 kV, reacció al foc classe Eca segons UNE-EN 50575, amb conductor de coure classe 5 (-K) de 4x6 mm² de secció, amb aïllament de polietilè reticulat (R) i coberta de PVC (V). Segons UNE 21123-2.</t>
  </si>
  <si>
    <t>mo003</t>
  </si>
  <si>
    <t>Mà d'obra</t>
  </si>
  <si>
    <t>h</t>
  </si>
  <si>
    <t>Oficial 1ª electricista.</t>
  </si>
  <si>
    <t>mo102</t>
  </si>
  <si>
    <t>Mà d'obra</t>
  </si>
  <si>
    <t>h</t>
  </si>
  <si>
    <t>Ajudant electricista.</t>
  </si>
  <si>
    <t>IEH010b</t>
  </si>
  <si>
    <t>SUB02</t>
  </si>
  <si>
    <t>SUB03</t>
  </si>
  <si>
    <t>Capítol</t>
  </si>
  <si>
    <t>LLUMENERES, COLUMNES I BACULS</t>
  </si>
  <si>
    <t>AVC002</t>
  </si>
  <si>
    <t>Partida</t>
  </si>
  <si>
    <t>UT</t>
  </si>
  <si>
    <t>Partida a justificar de substitució (en cas de ser necessari) de llumenera SCHREDER TECEO S 5248 24 XP-G3 590mA WW 730 44.5W 409052 Flat glass Light Exhauster 230V EF. Col.locada.</t>
  </si>
  <si>
    <t>Partida a justificar de substitució (en cas de ser necessari) de llumenera SCHREDER TECEO S 5248 24 XP-G3 590mA WW 730 44.5W 409052 Flat glass Light Exhauster 230V EF. Col.locada.</t>
  </si>
  <si>
    <t>enll002</t>
  </si>
  <si>
    <t>Sense classificar</t>
  </si>
  <si>
    <t>ut</t>
  </si>
  <si>
    <t>Llumenera SCHREDER TECEO S 5248 24 XP-G3 590mA WW 730 44.5W 409052 Flat glass Light Exhauster 230V EF</t>
  </si>
  <si>
    <t>mo003</t>
  </si>
  <si>
    <t>Mà d'obra</t>
  </si>
  <si>
    <t>h</t>
  </si>
  <si>
    <t>Oficial 1ª electricista.</t>
  </si>
  <si>
    <t>mo102</t>
  </si>
  <si>
    <t>Mà d'obra</t>
  </si>
  <si>
    <t>h</t>
  </si>
  <si>
    <t>Ajudant electricista.</t>
  </si>
  <si>
    <t>mq04cam010</t>
  </si>
  <si>
    <t>Maquinària</t>
  </si>
  <si>
    <t>h</t>
  </si>
  <si>
    <t>Camió cistella H=12 m.</t>
  </si>
  <si>
    <t>AVC002</t>
  </si>
  <si>
    <t>AVC033</t>
  </si>
  <si>
    <t>Partida</t>
  </si>
  <si>
    <t>UT</t>
  </si>
  <si>
    <t>Bàcul de planxa d'acer galvanitzat, de 7,50 m d'alçària i 1,5 m de sortint, d'un braç amb base platina i porta, marca JOVIR model BCN/B o similar, segons norma UNE-EN 40-5, amb els ancoratges corresponents i col·locat sobre dau de formigó.</t>
  </si>
  <si>
    <t>Bàcul de planxa d'acer galvanitzat, de 7,50 m d'alçària i 1,5 m de sortint, d'un braç amb base platina i porta, marca JOVIR model BCN/B o similar, segons norma UNE-EN 40-5, amb els ancoratges corresponents i col·locat sobre dau de formigó.</t>
  </si>
  <si>
    <t>Uts.</t>
  </si>
  <si>
    <t>Llargada</t>
  </si>
  <si>
    <t>Amplada</t>
  </si>
  <si>
    <t>Alçada</t>
  </si>
  <si>
    <t>Parcial</t>
  </si>
  <si>
    <t>Subtotal</t>
  </si>
  <si>
    <t>Bàcul C4</t>
  </si>
  <si>
    <t>enll033</t>
  </si>
  <si>
    <t>Sense classificar</t>
  </si>
  <si>
    <t>ut</t>
  </si>
  <si>
    <t>Bàcul de planxa d'acer galvanitzat, de 7,5 m d'alçària i 1,5 m de sortint, d'un braç amb base platina i porta, marca JOVIR model BCN/B o similar, segons norma UNE-EN 40-5. Amb els ancoratges corresponents.</t>
  </si>
  <si>
    <t>mo003</t>
  </si>
  <si>
    <t>Mà d'obra</t>
  </si>
  <si>
    <t>h</t>
  </si>
  <si>
    <t>Oficial 1ª electricista.</t>
  </si>
  <si>
    <t>mo102</t>
  </si>
  <si>
    <t>Mà d'obra</t>
  </si>
  <si>
    <t>h</t>
  </si>
  <si>
    <t>Ajudant electricista.</t>
  </si>
  <si>
    <t>mq04cag010c</t>
  </si>
  <si>
    <t>Maquinària</t>
  </si>
  <si>
    <t>h</t>
  </si>
  <si>
    <t>Camió amb grua de fins a 12 t.</t>
  </si>
  <si>
    <t>mt34www040</t>
  </si>
  <si>
    <t>Material</t>
  </si>
  <si>
    <t>U</t>
  </si>
  <si>
    <t>Caixa de connexió i protecció, amb fusibles.</t>
  </si>
  <si>
    <t>BT00P005</t>
  </si>
  <si>
    <t>Material</t>
  </si>
  <si>
    <t>UT</t>
  </si>
  <si>
    <t>Part proporcional d'accessoris per a columnes</t>
  </si>
  <si>
    <t>AVC033</t>
  </si>
  <si>
    <t>AVC034</t>
  </si>
  <si>
    <t>Partida</t>
  </si>
  <si>
    <t>UT</t>
  </si>
  <si>
    <t>Imprimació anti corrosió a la base de columnes i bàculs.</t>
  </si>
  <si>
    <t>Imprimació anti corrosió a la base de columnes i bàculs.</t>
  </si>
  <si>
    <t>SUB03</t>
  </si>
  <si>
    <t>SUB04</t>
  </si>
  <si>
    <t>Capítol</t>
  </si>
  <si>
    <t>MODIFICACIÓ MOBILIARI I SENYALITZACIONS</t>
  </si>
  <si>
    <t>AVC103</t>
  </si>
  <si>
    <t>Partida</t>
  </si>
  <si>
    <t>UT</t>
  </si>
  <si>
    <t>Desmuntatge i posterior muntatge de senyals de trànsit i/o informatives existent, dels actuals bàculs als nous bàculs.</t>
  </si>
  <si>
    <t>Desmontatge i posterior montatge de senyals de trànsit i/o informatives existent, dels actuals bàculs als nous bàculs.
Criteri de mesura d'obra: Es mesurarà el nombre d'unitats realment executades segons especificacions de Projecte.</t>
  </si>
  <si>
    <t>mo041</t>
  </si>
  <si>
    <t>Mà d'obra</t>
  </si>
  <si>
    <t>h</t>
  </si>
  <si>
    <t>Oficial 1ª construcció d'obra civil.</t>
  </si>
  <si>
    <t>mo087</t>
  </si>
  <si>
    <t>Mà d'obra</t>
  </si>
  <si>
    <t>h</t>
  </si>
  <si>
    <t>Ajudant construcció d'obra civil.</t>
  </si>
  <si>
    <t>%</t>
  </si>
  <si>
    <t>%</t>
  </si>
  <si>
    <t>Costos directes complementaris</t>
  </si>
  <si>
    <t>AVC103</t>
  </si>
  <si>
    <t>MSH010</t>
  </si>
  <si>
    <t>Partida</t>
  </si>
  <si>
    <t>m²</t>
  </si>
  <si>
    <t>Aplicació manual de pintura plàstica per a exterior, a base de resines acríliques, color blanc, acabat setinat, textura llisa, per a marca vial longitudinal, per a pas de vianants. Inclús microesferes de vidre, per aconseguir efecte retroreflector en sec i amb humitat o pluja.</t>
  </si>
  <si>
    <t>Aplicació manual de pintura plàstica per a exterior, a base de resines acríliques, color blanc, acabat setinat, textura llisa, per a marca vial longitudinal, per a pas de vianants. Inclús microesferes de vidre, per aconseguir efecte retroreflector en sec i amb humitat o pluja.
Inclou: Escombratge mitjançant escombradora mecànica. Premarcatge. Aplicació manual de la mescla.
Criteri d'amidament de projecte: Longitud mesurada segons documentació gràfica de Projecte.
Criteri de mesura d'obra: Es mesurarà a cinta correguda, la longitud realment executada segons especificacions de Projecte.</t>
  </si>
  <si>
    <t>mt27mvp010e</t>
  </si>
  <si>
    <t>Material</t>
  </si>
  <si>
    <t>l</t>
  </si>
  <si>
    <t>Pintura plàstica per a exterior, a base de resines acríliques, color blanc, acabat setinat, textura llisa</t>
  </si>
  <si>
    <t>mt27mvh100b</t>
  </si>
  <si>
    <t>Material</t>
  </si>
  <si>
    <t>kg</t>
  </si>
  <si>
    <t>Microesferes de vidre.</t>
  </si>
  <si>
    <t>mo041</t>
  </si>
  <si>
    <t>Mà d'obra</t>
  </si>
  <si>
    <t>h</t>
  </si>
  <si>
    <t>Oficial 1ª construcció d'obra civil.</t>
  </si>
  <si>
    <t>mo087</t>
  </si>
  <si>
    <t>Mà d'obra</t>
  </si>
  <si>
    <t>h</t>
  </si>
  <si>
    <t>Ajudant construcció d'obra civil.</t>
  </si>
  <si>
    <t>%</t>
  </si>
  <si>
    <t>%</t>
  </si>
  <si>
    <t>Costos directes complementaris</t>
  </si>
  <si>
    <t>MSH010</t>
  </si>
  <si>
    <t>SUB04</t>
  </si>
  <si>
    <t>SUB05</t>
  </si>
  <si>
    <t>Capítol</t>
  </si>
  <si>
    <t>VARIS</t>
  </si>
  <si>
    <t>AVC021</t>
  </si>
  <si>
    <t>Partida</t>
  </si>
  <si>
    <t>UT</t>
  </si>
  <si>
    <t>Partida a justificar de realització d'estudi lumínic posterior a la intervenció per a la comprovació del nivells i si fes falta modificació dels drivers de les llumeneres.</t>
  </si>
  <si>
    <t>Partida a justificar de realització d'estudi lumínic posterior a la intervenció per a la comprovació del nivells i si fes falta modificació dels drivers de les llumeneres.</t>
  </si>
  <si>
    <t>AVC012</t>
  </si>
  <si>
    <t>Partida</t>
  </si>
  <si>
    <t>UT</t>
  </si>
  <si>
    <t>Legalitzacio de la ampliació del quadre QEP 314. Iclòs els drets de visat del projecte amb certificat final al col·legi profesionat i taxes de l'entitat d'inspeccio i control.</t>
  </si>
  <si>
    <t>Legalitzacio de la ampliació del quadre QEP 475. Iclòs els drets de visat del projecte amb certificat final al col·legi profesionat i taxes de l'entitat d'inspeccio i control.</t>
  </si>
  <si>
    <t>AVC100</t>
  </si>
  <si>
    <t>Partida</t>
  </si>
  <si>
    <t>UT</t>
  </si>
  <si>
    <t>As-built del quadre modificat.</t>
  </si>
  <si>
    <t>As-built dels quadres modificats (QEP-31, QEP 115, QEP 564).</t>
  </si>
  <si>
    <t>YCX010</t>
  </si>
  <si>
    <t>Partida</t>
  </si>
  <si>
    <t>UT</t>
  </si>
  <si>
    <t>Conjunt de sistemes de protecció col·lectiva, necessaris per al compliment de la normativa vigent en matèria de Seguretat i Salut en el Treball. Inclús manteniment en condicions segures durant tot el període de temps que es requereixi, reparació o reposició i transport fins al lloc d'emmagatzematge o retirada a contenidor.</t>
  </si>
  <si>
    <t>Conjunt de sistemes de protecció col·lectiva, necessaris per al compliment de la normativa vigent en matèria de Seguretat i Salut en el Treball. Inclús manteniment en condicions segures durant tot el període de temps que es requereixi, reparació o reposició i transport fins al lloc d'emmagatzematge o retirada a contenidor.
Criteri d'amidament de projecte: Nombre d'unitats previstes, segons Estudi o Estudi Bàsic de Seguretat i Salut.
Criteri de mesura d'obra: Es mesurarà el nombre d'unitats realment col·locades segons especificacions d'Estudi o Estudi Bàsic de Seguretat i Salut.</t>
  </si>
  <si>
    <t>AVC020</t>
  </si>
  <si>
    <t>Partida</t>
  </si>
  <si>
    <t>UT</t>
  </si>
  <si>
    <t>Imprevistos a justificar.</t>
  </si>
  <si>
    <t>Imprevistos a justificar.</t>
  </si>
  <si>
    <t>SUB05</t>
  </si>
  <si>
    <t>CAP01</t>
  </si>
  <si>
    <t>22010_ENLLUMENAT_FONTANELLA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</si>
</sst>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7" x14ac:knownFonts="1">
    <font>
      <sz val="12"/>
      <color rgb="FF000000"/>
      <name val="Verdana"/>
      <family val="2"/>
    </font>
    <font>
      <b/>
      <sz val="10"/>
      <color rgb="FF000000"/>
      <name val="Arial"/>
      <family val="2"/>
    </font>
    <font>
      <sz val="7.95"/>
      <color rgb="FF000000"/>
      <name val="Arial"/>
      <family val="2"/>
    </font>
    <font>
      <b/>
      <sz val="9"/>
      <color rgb="FF000000"/>
      <name val="Arial"/>
      <family val="2"/>
    </font>
    <font>
      <b/>
      <sz val="7.95"/>
      <color rgb="FF000000"/>
      <name val="Arial"/>
      <family val="2"/>
    </font>
    <font>
      <sz val="7.95"/>
      <color rgb="FF808080"/>
      <name val="Arial"/>
      <family val="2"/>
    </font>
    <font>
      <sz val="7.95"/>
      <color rgb="FF101010"/>
      <name val="Arial"/>
      <family val="2"/>
    </font>
  </fonts>
  <fills count="6">
    <fill>
      <patternFill patternType="none"/>
    </fill>
    <fill>
      <patternFill patternType="gray125"/>
    </fill>
    <fill>
      <patternFill patternType="solid">
        <fgColor rgb="FFDFFFBF"/>
      </patternFill>
    </fill>
    <fill>
      <patternFill patternType="solid">
        <fgColor rgb="FF269900"/>
      </patternFill>
    </fill>
    <fill>
      <patternFill patternType="solid">
        <fgColor rgb="FF3FB219"/>
      </patternFill>
    </fill>
    <fill>
      <patternFill patternType="solid">
        <fgColor rgb="FF58CB32"/>
      </patternFill>
    </fill>
  </fills>
  <borders count="6">
    <border>
      <left/>
      <right/>
      <top/>
      <bottom/>
      <diagonal/>
    </border>
    <border>
      <left/>
      <right/>
      <top/>
      <bottom style="thin">
        <color rgb="FF000000"/>
      </bottom>
      <diagonal/>
    </border>
    <border>
      <left/>
      <right/>
      <top style="thin">
        <color rgb="FF000000"/>
      </top>
      <bottom/>
      <diagonal/>
    </border>
    <border>
      <left/>
      <right/>
      <top/>
      <bottom style="thin">
        <color rgb="FF808080"/>
      </bottom>
      <diagonal/>
    </border>
    <border>
      <left/>
      <right/>
      <top style="thin">
        <color rgb="FF808080"/>
      </top>
      <bottom/>
      <diagonal/>
    </border>
    <border>
      <left/>
      <right/>
      <top style="thin">
        <color rgb="FF000000"/>
      </top>
      <bottom style="thin">
        <color rgb="FF000000"/>
      </bottom>
      <diagonal/>
    </border>
  </borders>
  <cellStyleXfs count="1">
    <xf numFmtId="0" fontId="0" fillId="0" borderId="0"/>
  </cellStyleXfs>
  <cellXfs count="66">
    <xf numFmtId="0" fontId="0" fillId="0" borderId="0" xfId="0" applyAlignment="1">
      <alignment horizontal="left" vertical="center"/>
    </xf>
    <xf numFmtId="0" fontId="1" fillId="2" borderId="0" xfId="0" applyFont="1" applyFill="1" applyAlignment="1">
      <alignment horizontal="right" vertical="top" wrapText="1"/>
    </xf>
    <xf numFmtId="0" fontId="0" fillId="2" borderId="0" xfId="0" applyFill="1" applyAlignment="1">
      <alignment horizontal="left" vertical="top" wrapText="1"/>
    </xf>
    <xf numFmtId="0" fontId="2" fillId="0" borderId="0" xfId="0" applyFont="1" applyAlignment="1">
      <alignment horizontal="right" vertical="top" wrapText="1"/>
    </xf>
    <xf numFmtId="0" fontId="2" fillId="2" borderId="0" xfId="0" applyFont="1" applyFill="1" applyAlignment="1">
      <alignment horizontal="right" vertical="top" wrapText="1"/>
    </xf>
    <xf numFmtId="0" fontId="2" fillId="0" borderId="0" xfId="0" applyFont="1" applyAlignment="1">
      <alignment horizontal="left" vertical="top" wrapText="1"/>
    </xf>
    <xf numFmtId="0" fontId="2" fillId="2" borderId="0" xfId="0" applyFont="1" applyFill="1" applyAlignment="1">
      <alignment horizontal="left" vertical="top" wrapText="1"/>
    </xf>
    <xf numFmtId="0" fontId="3" fillId="2" borderId="1" xfId="0" applyFont="1" applyFill="1" applyBorder="1" applyAlignment="1">
      <alignment horizontal="left" vertical="top" wrapText="1"/>
    </xf>
    <xf numFmtId="0" fontId="0" fillId="2" borderId="1" xfId="0" applyFill="1" applyBorder="1" applyAlignment="1">
      <alignment horizontal="left" vertical="top" wrapText="1"/>
    </xf>
    <xf numFmtId="0" fontId="3" fillId="2" borderId="1" xfId="0" applyFont="1" applyFill="1" applyBorder="1" applyAlignment="1">
      <alignment horizontal="right" vertical="top" wrapText="1"/>
    </xf>
    <xf numFmtId="0" fontId="4" fillId="0" borderId="0" xfId="0" applyFont="1" applyAlignment="1">
      <alignment horizontal="left" vertical="top" wrapText="1"/>
    </xf>
    <xf numFmtId="0" fontId="4" fillId="3" borderId="2" xfId="0" applyFont="1" applyFill="1" applyBorder="1" applyAlignment="1">
      <alignment horizontal="left" vertical="top" wrapText="1"/>
    </xf>
    <xf numFmtId="0" fontId="0" fillId="3" borderId="2" xfId="0" applyFill="1" applyBorder="1" applyAlignment="1">
      <alignment horizontal="left" vertical="top" wrapText="1"/>
    </xf>
    <xf numFmtId="4" fontId="4" fillId="3" borderId="2" xfId="0" applyNumberFormat="1" applyFont="1" applyFill="1" applyBorder="1" applyAlignment="1">
      <alignment horizontal="right" vertical="top" wrapText="1"/>
    </xf>
    <xf numFmtId="0" fontId="4" fillId="4" borderId="0" xfId="0" applyFont="1" applyFill="1" applyAlignment="1">
      <alignment horizontal="left" vertical="top" wrapText="1"/>
    </xf>
    <xf numFmtId="0" fontId="0" fillId="4" borderId="0" xfId="0" applyFill="1" applyAlignment="1">
      <alignment horizontal="left" vertical="top" wrapText="1"/>
    </xf>
    <xf numFmtId="4" fontId="4" fillId="4" borderId="0" xfId="0" applyNumberFormat="1" applyFont="1" applyFill="1" applyAlignment="1">
      <alignment horizontal="right" vertical="top" wrapText="1"/>
    </xf>
    <xf numFmtId="0" fontId="4" fillId="5" borderId="0" xfId="0" applyFont="1" applyFill="1" applyAlignment="1">
      <alignment horizontal="left" vertical="top" wrapText="1"/>
    </xf>
    <xf numFmtId="0" fontId="0" fillId="5" borderId="0" xfId="0" applyFill="1" applyAlignment="1">
      <alignment horizontal="left" vertical="top" wrapText="1"/>
    </xf>
    <xf numFmtId="4" fontId="4" fillId="5" borderId="0" xfId="0" applyNumberFormat="1" applyFont="1" applyFill="1" applyAlignment="1">
      <alignment horizontal="right" vertical="top" wrapText="1"/>
    </xf>
    <xf numFmtId="164" fontId="2" fillId="0" borderId="0" xfId="0" applyNumberFormat="1" applyFont="1" applyAlignment="1">
      <alignment horizontal="right" vertical="top" wrapText="1"/>
    </xf>
    <xf numFmtId="4" fontId="2" fillId="0" borderId="0" xfId="0" applyNumberFormat="1" applyFont="1" applyAlignment="1">
      <alignment horizontal="right" vertical="top" wrapText="1"/>
    </xf>
    <xf numFmtId="0" fontId="0" fillId="0" borderId="0" xfId="0" applyAlignment="1">
      <alignment horizontal="center" vertical="center" wrapText="1"/>
    </xf>
    <xf numFmtId="0" fontId="5" fillId="0" borderId="3" xfId="0" applyFont="1" applyBorder="1" applyAlignment="1">
      <alignment horizontal="left" vertical="top" wrapText="1"/>
    </xf>
    <xf numFmtId="0" fontId="5" fillId="0" borderId="0" xfId="0" applyFont="1" applyAlignment="1">
      <alignment horizontal="right" vertical="top" wrapText="1"/>
    </xf>
    <xf numFmtId="0" fontId="5" fillId="0" borderId="3" xfId="0" applyFont="1" applyBorder="1" applyAlignment="1">
      <alignment horizontal="right" vertical="top" wrapText="1"/>
    </xf>
    <xf numFmtId="0" fontId="5" fillId="0" borderId="0" xfId="0" applyFont="1" applyAlignment="1">
      <alignment horizontal="left" vertical="top" wrapText="1"/>
    </xf>
    <xf numFmtId="0" fontId="2" fillId="0" borderId="4" xfId="0" applyFont="1" applyBorder="1" applyAlignment="1">
      <alignment horizontal="left" vertical="top" wrapText="1"/>
    </xf>
    <xf numFmtId="0" fontId="2" fillId="0" borderId="4" xfId="0" applyFont="1" applyBorder="1" applyAlignment="1">
      <alignment horizontal="right" vertical="top" wrapText="1"/>
    </xf>
    <xf numFmtId="4" fontId="2" fillId="0" borderId="4" xfId="0" applyNumberFormat="1" applyFont="1" applyBorder="1" applyAlignment="1">
      <alignment horizontal="right" vertical="top" wrapText="1"/>
    </xf>
    <xf numFmtId="164" fontId="5" fillId="0" borderId="0" xfId="0" applyNumberFormat="1" applyFont="1" applyAlignment="1">
      <alignment horizontal="right" vertical="top" wrapText="1"/>
    </xf>
    <xf numFmtId="164" fontId="5" fillId="0" borderId="4" xfId="0" applyNumberFormat="1" applyFont="1" applyBorder="1" applyAlignment="1">
      <alignment horizontal="right" vertical="top" wrapText="1"/>
    </xf>
    <xf numFmtId="164" fontId="6" fillId="0" borderId="0" xfId="0" applyNumberFormat="1" applyFont="1" applyAlignment="1">
      <alignment horizontal="right" vertical="top" wrapText="1"/>
    </xf>
    <xf numFmtId="164" fontId="6" fillId="0" borderId="4" xfId="0" applyNumberFormat="1" applyFont="1" applyBorder="1" applyAlignment="1">
      <alignment horizontal="right" vertical="top" wrapText="1"/>
    </xf>
    <xf numFmtId="0" fontId="0" fillId="0" borderId="1" xfId="0" applyBorder="1" applyAlignment="1">
      <alignment horizontal="center" vertical="center" wrapText="1"/>
    </xf>
    <xf numFmtId="0" fontId="4" fillId="0" borderId="1" xfId="0" applyFont="1" applyBorder="1" applyAlignment="1">
      <alignment horizontal="left" vertical="top" wrapText="1"/>
    </xf>
    <xf numFmtId="164" fontId="4" fillId="0" borderId="1" xfId="0" applyNumberFormat="1" applyFont="1" applyBorder="1" applyAlignment="1">
      <alignment horizontal="right" vertical="top" wrapText="1"/>
    </xf>
    <xf numFmtId="4" fontId="4" fillId="0" borderId="1" xfId="0" applyNumberFormat="1" applyFont="1" applyBorder="1" applyAlignment="1">
      <alignment horizontal="right" vertical="top" wrapText="1"/>
    </xf>
    <xf numFmtId="0" fontId="4" fillId="0" borderId="2" xfId="0" applyFont="1" applyBorder="1" applyAlignment="1">
      <alignment horizontal="left" vertical="top" wrapText="1"/>
    </xf>
    <xf numFmtId="0" fontId="2" fillId="0" borderId="2" xfId="0" applyFont="1" applyBorder="1" applyAlignment="1">
      <alignment horizontal="left" vertical="top" wrapText="1"/>
    </xf>
    <xf numFmtId="164" fontId="2" fillId="0" borderId="2" xfId="0" applyNumberFormat="1" applyFont="1" applyBorder="1" applyAlignment="1">
      <alignment horizontal="right" vertical="top" wrapText="1"/>
    </xf>
    <xf numFmtId="4" fontId="2" fillId="0" borderId="2" xfId="0" applyNumberFormat="1" applyFont="1" applyBorder="1" applyAlignment="1">
      <alignment horizontal="right" vertical="top"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4" fillId="5" borderId="5" xfId="0" applyFont="1" applyFill="1" applyBorder="1" applyAlignment="1">
      <alignment horizontal="left" vertical="top" wrapText="1"/>
    </xf>
    <xf numFmtId="0" fontId="0" fillId="5" borderId="5" xfId="0" applyFill="1" applyBorder="1" applyAlignment="1">
      <alignment horizontal="left" vertical="top" wrapText="1"/>
    </xf>
    <xf numFmtId="4" fontId="4" fillId="5" borderId="5" xfId="0" applyNumberFormat="1" applyFont="1" applyFill="1" applyBorder="1" applyAlignment="1">
      <alignment horizontal="right" vertical="top" wrapText="1"/>
    </xf>
    <xf numFmtId="0" fontId="4" fillId="5" borderId="2" xfId="0" applyFont="1" applyFill="1" applyBorder="1" applyAlignment="1">
      <alignment horizontal="left" vertical="top" wrapText="1"/>
    </xf>
    <xf numFmtId="0" fontId="0" fillId="5" borderId="2" xfId="0" applyFill="1" applyBorder="1" applyAlignment="1">
      <alignment horizontal="left" vertical="top" wrapText="1"/>
    </xf>
    <xf numFmtId="4" fontId="4" fillId="5" borderId="2" xfId="0" applyNumberFormat="1" applyFont="1" applyFill="1" applyBorder="1" applyAlignment="1">
      <alignment horizontal="right" vertical="top" wrapText="1"/>
    </xf>
    <xf numFmtId="0" fontId="4" fillId="5" borderId="1" xfId="0" applyFont="1" applyFill="1" applyBorder="1" applyAlignment="1">
      <alignment horizontal="left" vertical="top" wrapText="1"/>
    </xf>
    <xf numFmtId="0" fontId="0" fillId="5" borderId="1" xfId="0" applyFill="1" applyBorder="1" applyAlignment="1">
      <alignment horizontal="left" vertical="top" wrapText="1"/>
    </xf>
    <xf numFmtId="4" fontId="4" fillId="5" borderId="1" xfId="0" applyNumberFormat="1" applyFont="1" applyFill="1" applyBorder="1" applyAlignment="1">
      <alignment horizontal="right" vertical="top" wrapText="1"/>
    </xf>
    <xf numFmtId="0" fontId="4" fillId="4" borderId="5" xfId="0" applyFont="1" applyFill="1" applyBorder="1" applyAlignment="1">
      <alignment horizontal="left" vertical="top" wrapText="1"/>
    </xf>
    <xf numFmtId="0" fontId="0" fillId="4" borderId="5" xfId="0" applyFill="1" applyBorder="1" applyAlignment="1">
      <alignment horizontal="left" vertical="top" wrapText="1"/>
    </xf>
    <xf numFmtId="4" fontId="4" fillId="4" borderId="5" xfId="0" applyNumberFormat="1" applyFont="1" applyFill="1" applyBorder="1" applyAlignment="1">
      <alignment horizontal="right" vertical="top" wrapText="1"/>
    </xf>
    <xf numFmtId="0" fontId="4" fillId="3" borderId="5" xfId="0" applyFont="1" applyFill="1" applyBorder="1" applyAlignment="1">
      <alignment horizontal="left" vertical="top" wrapText="1"/>
    </xf>
    <xf numFmtId="0" fontId="0" fillId="3" borderId="5" xfId="0" applyFill="1" applyBorder="1" applyAlignment="1">
      <alignment horizontal="left" vertical="top" wrapText="1"/>
    </xf>
    <xf numFmtId="4" fontId="4" fillId="3" borderId="5" xfId="0" applyNumberFormat="1" applyFont="1" applyFill="1" applyBorder="1" applyAlignment="1">
      <alignment horizontal="right" vertical="top" wrapText="1"/>
    </xf>
    <xf numFmtId="0" fontId="1" fillId="2" borderId="0" xfId="0" applyFont="1" applyFill="1" applyAlignment="1">
      <alignment horizontal="left" vertical="top" wrapText="1"/>
    </xf>
    <xf numFmtId="0" fontId="4" fillId="3" borderId="2" xfId="0" applyFont="1" applyFill="1" applyBorder="1" applyAlignment="1">
      <alignment horizontal="justify" vertical="top" wrapText="1"/>
    </xf>
    <xf numFmtId="0" fontId="4" fillId="4" borderId="0" xfId="0" applyFont="1" applyFill="1" applyAlignment="1">
      <alignment horizontal="justify" vertical="top" wrapText="1"/>
    </xf>
    <xf numFmtId="0" fontId="4" fillId="5" borderId="0" xfId="0" applyFont="1" applyFill="1" applyAlignment="1">
      <alignment horizontal="justify" vertical="top" wrapText="1"/>
    </xf>
    <xf numFmtId="0" fontId="2" fillId="0" borderId="0" xfId="0" applyFont="1" applyAlignment="1">
      <alignment horizontal="justify" vertical="top" wrapText="1"/>
    </xf>
    <xf numFmtId="0" fontId="2" fillId="0" borderId="2" xfId="0" applyFont="1" applyBorder="1" applyAlignment="1">
      <alignment horizontal="justify" vertical="top" wrapText="1"/>
    </xf>
    <xf numFmtId="0" fontId="4" fillId="5" borderId="2" xfId="0" applyFont="1" applyFill="1" applyBorder="1" applyAlignment="1">
      <alignment horizontal="justify"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32"/>
  <sheetViews>
    <sheetView tabSelected="1" view="pageLayout" workbookViewId="0">
      <selection activeCell="O8" sqref="O8"/>
    </sheetView>
  </sheetViews>
  <sheetFormatPr defaultColWidth="11.19921875" defaultRowHeight="15" x14ac:dyDescent="0.2"/>
  <cols>
    <col min="1" max="1" width="7.5" customWidth="1"/>
    <col min="2" max="2" width="6.59765625" customWidth="1"/>
    <col min="3" max="3" width="3.19921875" customWidth="1"/>
    <col min="4" max="4" width="17.8984375" customWidth="1"/>
    <col min="5" max="5" width="10.3984375" customWidth="1"/>
    <col min="6" max="7" width="5.59765625" customWidth="1"/>
    <col min="8" max="8" width="5.796875" customWidth="1"/>
    <col min="9" max="9" width="5" customWidth="1"/>
    <col min="10" max="10" width="6.296875" customWidth="1"/>
    <col min="11" max="11" width="8.19921875" customWidth="1"/>
    <col min="12" max="12" width="8.09765625" customWidth="1"/>
    <col min="13" max="13" width="8.19921875" customWidth="1"/>
  </cols>
  <sheetData>
    <row r="1" spans="1:13" ht="17.649999999999999" customHeight="1" thickBot="1" x14ac:dyDescent="0.25">
      <c r="A1" s="1" t="s">
        <v>0</v>
      </c>
      <c r="B1" s="59" t="s">
        <v>1</v>
      </c>
      <c r="C1" s="59"/>
      <c r="D1" s="59"/>
      <c r="E1" s="59"/>
      <c r="F1" s="59"/>
      <c r="G1" s="59"/>
      <c r="H1" s="59"/>
      <c r="I1" s="59"/>
      <c r="J1" s="59"/>
      <c r="K1" s="59"/>
      <c r="L1" s="59"/>
      <c r="M1" s="59"/>
    </row>
    <row r="2" spans="1:13" ht="17.649999999999999" customHeight="1" thickBot="1" x14ac:dyDescent="0.25">
      <c r="A2" s="59" t="s">
        <v>2</v>
      </c>
      <c r="B2" s="59"/>
      <c r="C2" s="59"/>
      <c r="D2" s="2"/>
      <c r="E2" s="2"/>
      <c r="F2" s="2"/>
      <c r="G2" s="2"/>
      <c r="H2" s="2"/>
      <c r="I2" s="2"/>
      <c r="J2" s="2"/>
      <c r="K2" s="2"/>
      <c r="L2" s="4" t="s">
        <v>3</v>
      </c>
      <c r="M2" s="6">
        <v>5</v>
      </c>
    </row>
    <row r="3" spans="1:13" ht="16.5" customHeight="1" thickBot="1" x14ac:dyDescent="0.25">
      <c r="A3" s="7" t="s">
        <v>4</v>
      </c>
      <c r="B3" s="7" t="s">
        <v>5</v>
      </c>
      <c r="C3" s="7" t="s">
        <v>6</v>
      </c>
      <c r="D3" s="7" t="s">
        <v>7</v>
      </c>
      <c r="E3" s="8"/>
      <c r="F3" s="8"/>
      <c r="G3" s="8"/>
      <c r="H3" s="8"/>
      <c r="I3" s="8"/>
      <c r="J3" s="8"/>
      <c r="K3" s="9" t="s">
        <v>8</v>
      </c>
      <c r="L3" s="9" t="s">
        <v>9</v>
      </c>
      <c r="M3" s="9" t="s">
        <v>10</v>
      </c>
    </row>
    <row r="4" spans="1:13" ht="34.15" customHeight="1" thickBot="1" x14ac:dyDescent="0.25">
      <c r="A4" s="11" t="s">
        <v>11</v>
      </c>
      <c r="B4" s="11" t="s">
        <v>12</v>
      </c>
      <c r="C4" s="12"/>
      <c r="D4" s="60" t="s">
        <v>13</v>
      </c>
      <c r="E4" s="60"/>
      <c r="F4" s="60"/>
      <c r="G4" s="60"/>
      <c r="H4" s="60"/>
      <c r="I4" s="60"/>
      <c r="J4" s="60"/>
      <c r="K4" s="12"/>
      <c r="L4" s="13">
        <f>L332</f>
        <v>48358.6</v>
      </c>
      <c r="M4" s="13">
        <f>ROUND(L4,2)</f>
        <v>48358.6</v>
      </c>
    </row>
    <row r="5" spans="1:13" ht="15.4" customHeight="1" thickBot="1" x14ac:dyDescent="0.25">
      <c r="A5" s="14" t="s">
        <v>14</v>
      </c>
      <c r="B5" s="14" t="s">
        <v>15</v>
      </c>
      <c r="C5" s="15"/>
      <c r="D5" s="61" t="s">
        <v>16</v>
      </c>
      <c r="E5" s="61"/>
      <c r="F5" s="61"/>
      <c r="G5" s="61"/>
      <c r="H5" s="61"/>
      <c r="I5" s="61"/>
      <c r="J5" s="61"/>
      <c r="K5" s="15"/>
      <c r="L5" s="16">
        <f>L331</f>
        <v>48358.600000000006</v>
      </c>
      <c r="M5" s="16">
        <f>ROUND(L5,2)</f>
        <v>48358.6</v>
      </c>
    </row>
    <row r="6" spans="1:13" ht="15.4" customHeight="1" thickBot="1" x14ac:dyDescent="0.25">
      <c r="A6" s="17" t="s">
        <v>17</v>
      </c>
      <c r="B6" s="17" t="s">
        <v>18</v>
      </c>
      <c r="C6" s="18"/>
      <c r="D6" s="62" t="s">
        <v>19</v>
      </c>
      <c r="E6" s="62"/>
      <c r="F6" s="62"/>
      <c r="G6" s="62"/>
      <c r="H6" s="62"/>
      <c r="I6" s="62"/>
      <c r="J6" s="62"/>
      <c r="K6" s="18"/>
      <c r="L6" s="19">
        <f>L52</f>
        <v>5774.02</v>
      </c>
      <c r="M6" s="19">
        <f>ROUND(L6,2)</f>
        <v>5774.02</v>
      </c>
    </row>
    <row r="7" spans="1:13" ht="48.75" customHeight="1" thickBot="1" x14ac:dyDescent="0.25">
      <c r="A7" s="10" t="s">
        <v>20</v>
      </c>
      <c r="B7" s="5" t="s">
        <v>21</v>
      </c>
      <c r="C7" s="5" t="s">
        <v>22</v>
      </c>
      <c r="D7" s="63" t="s">
        <v>23</v>
      </c>
      <c r="E7" s="63"/>
      <c r="F7" s="63"/>
      <c r="G7" s="63"/>
      <c r="H7" s="63"/>
      <c r="I7" s="63"/>
      <c r="J7" s="63"/>
      <c r="K7" s="20">
        <f>ROUND(11,2)</f>
        <v>11</v>
      </c>
      <c r="L7" s="21">
        <f>ROUND(70.86*(1+M2/100),2)</f>
        <v>74.400000000000006</v>
      </c>
      <c r="M7" s="21">
        <f>ROUND(K7*L7,2)</f>
        <v>818.4</v>
      </c>
    </row>
    <row r="8" spans="1:13" ht="30.4" customHeight="1" thickBot="1" x14ac:dyDescent="0.25">
      <c r="A8" s="22"/>
      <c r="B8" s="22"/>
      <c r="C8" s="22"/>
      <c r="D8" s="63" t="s">
        <v>24</v>
      </c>
      <c r="E8" s="63"/>
      <c r="F8" s="63"/>
      <c r="G8" s="63"/>
      <c r="H8" s="63"/>
      <c r="I8" s="63"/>
      <c r="J8" s="63"/>
      <c r="K8" s="63"/>
      <c r="L8" s="63"/>
      <c r="M8" s="63"/>
    </row>
    <row r="9" spans="1:13" ht="15.4" customHeight="1" thickBot="1" x14ac:dyDescent="0.25">
      <c r="A9" s="10" t="s">
        <v>25</v>
      </c>
      <c r="B9" s="5" t="s">
        <v>26</v>
      </c>
      <c r="C9" s="5" t="s">
        <v>27</v>
      </c>
      <c r="D9" s="63" t="s">
        <v>28</v>
      </c>
      <c r="E9" s="63"/>
      <c r="F9" s="63"/>
      <c r="G9" s="63"/>
      <c r="H9" s="63"/>
      <c r="I9" s="63"/>
      <c r="J9" s="63"/>
      <c r="K9" s="20">
        <f>ROUND(1,2)</f>
        <v>1</v>
      </c>
      <c r="L9" s="21">
        <f>ROUND(490.63*(1+M2/100),2)</f>
        <v>515.16</v>
      </c>
      <c r="M9" s="21">
        <f>ROUND(K9*L9,2)</f>
        <v>515.16</v>
      </c>
    </row>
    <row r="10" spans="1:13" ht="12" customHeight="1" thickBot="1" x14ac:dyDescent="0.25">
      <c r="A10" s="22"/>
      <c r="B10" s="22"/>
      <c r="C10" s="22"/>
      <c r="D10" s="63" t="s">
        <v>29</v>
      </c>
      <c r="E10" s="63"/>
      <c r="F10" s="63"/>
      <c r="G10" s="63"/>
      <c r="H10" s="63"/>
      <c r="I10" s="63"/>
      <c r="J10" s="63"/>
      <c r="K10" s="63"/>
      <c r="L10" s="63"/>
      <c r="M10" s="63"/>
    </row>
    <row r="11" spans="1:13" ht="21.2" customHeight="1" thickBot="1" x14ac:dyDescent="0.25">
      <c r="A11" s="10" t="s">
        <v>30</v>
      </c>
      <c r="B11" s="5" t="s">
        <v>31</v>
      </c>
      <c r="C11" s="5" t="s">
        <v>32</v>
      </c>
      <c r="D11" s="63" t="s">
        <v>33</v>
      </c>
      <c r="E11" s="63"/>
      <c r="F11" s="63"/>
      <c r="G11" s="63"/>
      <c r="H11" s="63"/>
      <c r="I11" s="63"/>
      <c r="J11" s="63"/>
      <c r="K11" s="20">
        <f>SUM(K14:K14)</f>
        <v>22.425000000000001</v>
      </c>
      <c r="L11" s="21">
        <f>L21</f>
        <v>10.69</v>
      </c>
      <c r="M11" s="21">
        <f>ROUND(K11*L11,2)</f>
        <v>239.72</v>
      </c>
    </row>
    <row r="12" spans="1:13" ht="57.95" customHeight="1" thickBot="1" x14ac:dyDescent="0.25">
      <c r="A12" s="22"/>
      <c r="B12" s="22"/>
      <c r="C12" s="22"/>
      <c r="D12" s="63" t="s">
        <v>34</v>
      </c>
      <c r="E12" s="63"/>
      <c r="F12" s="63"/>
      <c r="G12" s="63"/>
      <c r="H12" s="63"/>
      <c r="I12" s="63"/>
      <c r="J12" s="63"/>
      <c r="K12" s="63"/>
      <c r="L12" s="63"/>
      <c r="M12" s="63"/>
    </row>
    <row r="13" spans="1:13" ht="15" customHeight="1" thickBot="1" x14ac:dyDescent="0.25">
      <c r="A13" s="22"/>
      <c r="B13" s="22"/>
      <c r="C13" s="22"/>
      <c r="D13" s="22"/>
      <c r="E13" s="23"/>
      <c r="F13" s="25" t="s">
        <v>35</v>
      </c>
      <c r="G13" s="25" t="s">
        <v>36</v>
      </c>
      <c r="H13" s="25" t="s">
        <v>37</v>
      </c>
      <c r="I13" s="25" t="s">
        <v>38</v>
      </c>
      <c r="J13" s="25" t="s">
        <v>39</v>
      </c>
      <c r="K13" s="25" t="s">
        <v>40</v>
      </c>
      <c r="L13" s="22"/>
      <c r="M13" s="22"/>
    </row>
    <row r="14" spans="1:13" ht="21.2" customHeight="1" thickBot="1" x14ac:dyDescent="0.25">
      <c r="A14" s="22"/>
      <c r="B14" s="22"/>
      <c r="C14" s="22"/>
      <c r="D14" s="26"/>
      <c r="E14" s="27" t="s">
        <v>41</v>
      </c>
      <c r="F14" s="28"/>
      <c r="G14" s="29">
        <v>39</v>
      </c>
      <c r="H14" s="29">
        <v>0.5</v>
      </c>
      <c r="I14" s="29">
        <v>1.1499999999999999</v>
      </c>
      <c r="J14" s="31">
        <f>ROUND(G14*H14*I14,3)</f>
        <v>22.425000000000001</v>
      </c>
      <c r="K14" s="33">
        <f>SUM(J14:J14)</f>
        <v>22.425000000000001</v>
      </c>
      <c r="L14" s="22"/>
      <c r="M14" s="22"/>
    </row>
    <row r="15" spans="1:13" ht="15" customHeight="1" thickBot="1" x14ac:dyDescent="0.25">
      <c r="A15" s="5" t="s">
        <v>42</v>
      </c>
      <c r="B15" s="5" t="s">
        <v>43</v>
      </c>
      <c r="C15" s="5" t="s">
        <v>44</v>
      </c>
      <c r="D15" s="63" t="s">
        <v>45</v>
      </c>
      <c r="E15" s="63"/>
      <c r="F15" s="63"/>
      <c r="G15" s="63"/>
      <c r="H15" s="63"/>
      <c r="I15" s="63"/>
      <c r="J15" s="63"/>
      <c r="K15" s="20">
        <v>0.24099999999999999</v>
      </c>
      <c r="L15" s="21">
        <f>ROUND(4.76,2)</f>
        <v>4.76</v>
      </c>
      <c r="M15" s="21">
        <f>ROUND(K15*L15,2)</f>
        <v>1.1499999999999999</v>
      </c>
    </row>
    <row r="16" spans="1:13" ht="15" customHeight="1" thickBot="1" x14ac:dyDescent="0.25">
      <c r="A16" s="5" t="s">
        <v>46</v>
      </c>
      <c r="B16" s="5" t="s">
        <v>47</v>
      </c>
      <c r="C16" s="5" t="s">
        <v>48</v>
      </c>
      <c r="D16" s="63" t="s">
        <v>49</v>
      </c>
      <c r="E16" s="63"/>
      <c r="F16" s="63"/>
      <c r="G16" s="63"/>
      <c r="H16" s="63"/>
      <c r="I16" s="63"/>
      <c r="J16" s="63"/>
      <c r="K16" s="20">
        <v>0.12</v>
      </c>
      <c r="L16" s="21">
        <f>ROUND(8.08,2)</f>
        <v>8.08</v>
      </c>
      <c r="M16" s="21">
        <f>ROUND(K16*L16,2)</f>
        <v>0.97</v>
      </c>
    </row>
    <row r="17" spans="1:13" ht="15" customHeight="1" thickBot="1" x14ac:dyDescent="0.25">
      <c r="A17" s="5" t="s">
        <v>50</v>
      </c>
      <c r="B17" s="5" t="s">
        <v>51</v>
      </c>
      <c r="C17" s="5" t="s">
        <v>52</v>
      </c>
      <c r="D17" s="63" t="s">
        <v>53</v>
      </c>
      <c r="E17" s="63"/>
      <c r="F17" s="63"/>
      <c r="G17" s="63"/>
      <c r="H17" s="63"/>
      <c r="I17" s="63"/>
      <c r="J17" s="63"/>
      <c r="K17" s="20">
        <v>5.0000000000000001E-3</v>
      </c>
      <c r="L17" s="21">
        <f>ROUND(42.81,2)</f>
        <v>42.81</v>
      </c>
      <c r="M17" s="21">
        <f>ROUND(K17*L17,2)</f>
        <v>0.21</v>
      </c>
    </row>
    <row r="18" spans="1:13" ht="15" customHeight="1" thickBot="1" x14ac:dyDescent="0.25">
      <c r="A18" s="5" t="s">
        <v>54</v>
      </c>
      <c r="B18" s="5" t="s">
        <v>55</v>
      </c>
      <c r="C18" s="5" t="s">
        <v>56</v>
      </c>
      <c r="D18" s="63" t="s">
        <v>57</v>
      </c>
      <c r="E18" s="63"/>
      <c r="F18" s="63"/>
      <c r="G18" s="63"/>
      <c r="H18" s="63"/>
      <c r="I18" s="63"/>
      <c r="J18" s="63"/>
      <c r="K18" s="20">
        <v>9.4E-2</v>
      </c>
      <c r="L18" s="21">
        <f>ROUND(24.23,2)</f>
        <v>24.23</v>
      </c>
      <c r="M18" s="21">
        <f>ROUND(K18*L18,2)</f>
        <v>2.2799999999999998</v>
      </c>
    </row>
    <row r="19" spans="1:13" ht="15" customHeight="1" thickBot="1" x14ac:dyDescent="0.25">
      <c r="A19" s="5" t="s">
        <v>58</v>
      </c>
      <c r="B19" s="5" t="s">
        <v>59</v>
      </c>
      <c r="C19" s="5" t="s">
        <v>60</v>
      </c>
      <c r="D19" s="63" t="s">
        <v>61</v>
      </c>
      <c r="E19" s="63"/>
      <c r="F19" s="63"/>
      <c r="G19" s="63"/>
      <c r="H19" s="63"/>
      <c r="I19" s="63"/>
      <c r="J19" s="63"/>
      <c r="K19" s="20">
        <v>0.22900000000000001</v>
      </c>
      <c r="L19" s="21">
        <f>ROUND(23.46,2)</f>
        <v>23.46</v>
      </c>
      <c r="M19" s="21">
        <f>ROUND(K19*L19,2)</f>
        <v>5.37</v>
      </c>
    </row>
    <row r="20" spans="1:13" ht="15" customHeight="1" thickBot="1" x14ac:dyDescent="0.25">
      <c r="A20" s="5" t="s">
        <v>62</v>
      </c>
      <c r="B20" s="5"/>
      <c r="C20" s="5" t="s">
        <v>63</v>
      </c>
      <c r="D20" s="63" t="s">
        <v>64</v>
      </c>
      <c r="E20" s="63"/>
      <c r="F20" s="63"/>
      <c r="G20" s="63"/>
      <c r="H20" s="63"/>
      <c r="I20" s="63"/>
      <c r="J20" s="63"/>
      <c r="K20" s="20">
        <v>2</v>
      </c>
      <c r="L20" s="21">
        <f>ROUND(9.98,2)</f>
        <v>9.98</v>
      </c>
      <c r="M20" s="21">
        <f>ROUND((K20*L20)/100,2)</f>
        <v>0.2</v>
      </c>
    </row>
    <row r="21" spans="1:13" ht="15.4" customHeight="1" thickBot="1" x14ac:dyDescent="0.25">
      <c r="A21" s="34"/>
      <c r="B21" s="34"/>
      <c r="C21" s="34"/>
      <c r="D21" s="35" t="s">
        <v>65</v>
      </c>
      <c r="E21" s="34"/>
      <c r="F21" s="34"/>
      <c r="G21" s="34"/>
      <c r="H21" s="34"/>
      <c r="I21" s="34"/>
      <c r="J21" s="34"/>
      <c r="K21" s="36">
        <v>22.425000000000001</v>
      </c>
      <c r="L21" s="37">
        <f>ROUND((M15+M16+M17+M18+M19+M20)*(1+M2/100),2)</f>
        <v>10.69</v>
      </c>
      <c r="M21" s="37">
        <f>ROUND(K21*L21,2)</f>
        <v>239.72</v>
      </c>
    </row>
    <row r="22" spans="1:13" ht="21.2" customHeight="1" thickBot="1" x14ac:dyDescent="0.25">
      <c r="A22" s="38" t="s">
        <v>66</v>
      </c>
      <c r="B22" s="39" t="s">
        <v>67</v>
      </c>
      <c r="C22" s="39" t="s">
        <v>68</v>
      </c>
      <c r="D22" s="64" t="s">
        <v>69</v>
      </c>
      <c r="E22" s="64"/>
      <c r="F22" s="64"/>
      <c r="G22" s="64"/>
      <c r="H22" s="64"/>
      <c r="I22" s="64"/>
      <c r="J22" s="64"/>
      <c r="K22" s="40">
        <f>SUM(K25:K28)</f>
        <v>167.37100000000001</v>
      </c>
      <c r="L22" s="41">
        <f>L33</f>
        <v>20.420000000000002</v>
      </c>
      <c r="M22" s="41">
        <f>ROUND(K22*L22,2)</f>
        <v>3417.72</v>
      </c>
    </row>
    <row r="23" spans="1:13" ht="57.95" customHeight="1" thickBot="1" x14ac:dyDescent="0.25">
      <c r="A23" s="22"/>
      <c r="B23" s="22"/>
      <c r="C23" s="22"/>
      <c r="D23" s="63" t="s">
        <v>70</v>
      </c>
      <c r="E23" s="63"/>
      <c r="F23" s="63"/>
      <c r="G23" s="63"/>
      <c r="H23" s="63"/>
      <c r="I23" s="63"/>
      <c r="J23" s="63"/>
      <c r="K23" s="63"/>
      <c r="L23" s="63"/>
      <c r="M23" s="63"/>
    </row>
    <row r="24" spans="1:13" ht="15" customHeight="1" thickBot="1" x14ac:dyDescent="0.25">
      <c r="A24" s="22"/>
      <c r="B24" s="22"/>
      <c r="C24" s="22"/>
      <c r="D24" s="22"/>
      <c r="E24" s="23"/>
      <c r="F24" s="25" t="s">
        <v>71</v>
      </c>
      <c r="G24" s="25" t="s">
        <v>72</v>
      </c>
      <c r="H24" s="25" t="s">
        <v>73</v>
      </c>
      <c r="I24" s="25" t="s">
        <v>74</v>
      </c>
      <c r="J24" s="25" t="s">
        <v>75</v>
      </c>
      <c r="K24" s="25" t="s">
        <v>76</v>
      </c>
      <c r="L24" s="22"/>
      <c r="M24" s="22"/>
    </row>
    <row r="25" spans="1:13" ht="21.2" customHeight="1" thickBot="1" x14ac:dyDescent="0.25">
      <c r="A25" s="22"/>
      <c r="B25" s="22"/>
      <c r="C25" s="22"/>
      <c r="D25" s="26"/>
      <c r="E25" s="27" t="s">
        <v>77</v>
      </c>
      <c r="F25" s="28"/>
      <c r="G25" s="29">
        <v>39</v>
      </c>
      <c r="H25" s="29">
        <v>0.5</v>
      </c>
      <c r="I25" s="29">
        <v>1.1499999999999999</v>
      </c>
      <c r="J25" s="31">
        <f>ROUND(G25*H25*I25,3)</f>
        <v>22.425000000000001</v>
      </c>
      <c r="K25" s="42"/>
      <c r="L25" s="22"/>
      <c r="M25" s="22"/>
    </row>
    <row r="26" spans="1:13" ht="15" customHeight="1" thickBot="1" x14ac:dyDescent="0.25">
      <c r="A26" s="22"/>
      <c r="B26" s="22"/>
      <c r="C26" s="22"/>
      <c r="D26" s="26"/>
      <c r="E26" s="5" t="s">
        <v>78</v>
      </c>
      <c r="F26" s="3"/>
      <c r="G26" s="21">
        <v>232</v>
      </c>
      <c r="H26" s="21">
        <v>0.5</v>
      </c>
      <c r="I26" s="21">
        <v>1.1499999999999999</v>
      </c>
      <c r="J26" s="30">
        <f>ROUND(G26*H26*I26,3)</f>
        <v>133.4</v>
      </c>
      <c r="K26" s="22"/>
      <c r="L26" s="22"/>
      <c r="M26" s="22"/>
    </row>
    <row r="27" spans="1:13" ht="15" customHeight="1" thickBot="1" x14ac:dyDescent="0.25">
      <c r="A27" s="22"/>
      <c r="B27" s="22"/>
      <c r="C27" s="22"/>
      <c r="D27" s="26"/>
      <c r="E27" s="5" t="s">
        <v>79</v>
      </c>
      <c r="F27" s="3">
        <v>12</v>
      </c>
      <c r="G27" s="21">
        <v>0.5</v>
      </c>
      <c r="H27" s="21">
        <v>0.5</v>
      </c>
      <c r="I27" s="21">
        <v>1.1499999999999999</v>
      </c>
      <c r="J27" s="30">
        <f>ROUND(F27*G27*H27*I27,3)</f>
        <v>3.45</v>
      </c>
      <c r="K27" s="22"/>
      <c r="L27" s="22"/>
      <c r="M27" s="22"/>
    </row>
    <row r="28" spans="1:13" ht="15" customHeight="1" thickBot="1" x14ac:dyDescent="0.25">
      <c r="A28" s="22"/>
      <c r="B28" s="22"/>
      <c r="C28" s="22"/>
      <c r="D28" s="26"/>
      <c r="E28" s="5" t="s">
        <v>80</v>
      </c>
      <c r="F28" s="3">
        <v>11</v>
      </c>
      <c r="G28" s="21">
        <v>0.8</v>
      </c>
      <c r="H28" s="21">
        <v>0.8</v>
      </c>
      <c r="I28" s="21">
        <v>1.1499999999999999</v>
      </c>
      <c r="J28" s="30">
        <f>ROUND(F28*G28*H28*I28,3)</f>
        <v>8.0960000000000001</v>
      </c>
      <c r="K28" s="32">
        <f>SUM(J25:J28)</f>
        <v>167.37100000000001</v>
      </c>
      <c r="L28" s="22"/>
      <c r="M28" s="22"/>
    </row>
    <row r="29" spans="1:13" ht="15" customHeight="1" thickBot="1" x14ac:dyDescent="0.25">
      <c r="A29" s="5" t="s">
        <v>81</v>
      </c>
      <c r="B29" s="5" t="s">
        <v>82</v>
      </c>
      <c r="C29" s="5" t="s">
        <v>83</v>
      </c>
      <c r="D29" s="63" t="s">
        <v>84</v>
      </c>
      <c r="E29" s="63"/>
      <c r="F29" s="63"/>
      <c r="G29" s="63"/>
      <c r="H29" s="63"/>
      <c r="I29" s="63"/>
      <c r="J29" s="63"/>
      <c r="K29" s="20">
        <v>0.16200000000000001</v>
      </c>
      <c r="L29" s="21">
        <f>ROUND(75.94,2)</f>
        <v>75.94</v>
      </c>
      <c r="M29" s="21">
        <f>ROUND(K29*L29,2)</f>
        <v>12.3</v>
      </c>
    </row>
    <row r="30" spans="1:13" ht="15" customHeight="1" thickBot="1" x14ac:dyDescent="0.25">
      <c r="A30" s="5" t="s">
        <v>85</v>
      </c>
      <c r="B30" s="5" t="s">
        <v>86</v>
      </c>
      <c r="C30" s="5" t="s">
        <v>87</v>
      </c>
      <c r="D30" s="63" t="s">
        <v>88</v>
      </c>
      <c r="E30" s="63"/>
      <c r="F30" s="63"/>
      <c r="G30" s="63"/>
      <c r="H30" s="63"/>
      <c r="I30" s="63"/>
      <c r="J30" s="63"/>
      <c r="K30" s="20">
        <v>5.3999999999999999E-2</v>
      </c>
      <c r="L30" s="21">
        <f>ROUND(47.84,2)</f>
        <v>47.84</v>
      </c>
      <c r="M30" s="21">
        <f>ROUND(K30*L30,2)</f>
        <v>2.58</v>
      </c>
    </row>
    <row r="31" spans="1:13" ht="15" customHeight="1" thickBot="1" x14ac:dyDescent="0.25">
      <c r="A31" s="5" t="s">
        <v>89</v>
      </c>
      <c r="B31" s="5" t="s">
        <v>90</v>
      </c>
      <c r="C31" s="5" t="s">
        <v>91</v>
      </c>
      <c r="D31" s="63" t="s">
        <v>92</v>
      </c>
      <c r="E31" s="63"/>
      <c r="F31" s="63"/>
      <c r="G31" s="63"/>
      <c r="H31" s="63"/>
      <c r="I31" s="63"/>
      <c r="J31" s="63"/>
      <c r="K31" s="20">
        <v>0.17299999999999999</v>
      </c>
      <c r="L31" s="21">
        <f>ROUND(24.23,2)</f>
        <v>24.23</v>
      </c>
      <c r="M31" s="21">
        <f>ROUND(K31*L31,2)</f>
        <v>4.1900000000000004</v>
      </c>
    </row>
    <row r="32" spans="1:13" ht="15" customHeight="1" thickBot="1" x14ac:dyDescent="0.25">
      <c r="A32" s="5" t="s">
        <v>93</v>
      </c>
      <c r="B32" s="5"/>
      <c r="C32" s="5" t="s">
        <v>94</v>
      </c>
      <c r="D32" s="63" t="s">
        <v>95</v>
      </c>
      <c r="E32" s="63"/>
      <c r="F32" s="63"/>
      <c r="G32" s="63"/>
      <c r="H32" s="63"/>
      <c r="I32" s="63"/>
      <c r="J32" s="63"/>
      <c r="K32" s="20">
        <v>2</v>
      </c>
      <c r="L32" s="21">
        <f>ROUND(19.07,2)</f>
        <v>19.07</v>
      </c>
      <c r="M32" s="21">
        <f>ROUND((K32*L32)/100,2)</f>
        <v>0.38</v>
      </c>
    </row>
    <row r="33" spans="1:13" ht="15.4" customHeight="1" thickBot="1" x14ac:dyDescent="0.25">
      <c r="A33" s="34"/>
      <c r="B33" s="34"/>
      <c r="C33" s="34"/>
      <c r="D33" s="35" t="s">
        <v>96</v>
      </c>
      <c r="E33" s="34"/>
      <c r="F33" s="34"/>
      <c r="G33" s="34"/>
      <c r="H33" s="34"/>
      <c r="I33" s="34"/>
      <c r="J33" s="34"/>
      <c r="K33" s="36">
        <v>167.37100000000001</v>
      </c>
      <c r="L33" s="37">
        <f>ROUND((M29+M30+M31+M32)*(1+M2/100),2)</f>
        <v>20.420000000000002</v>
      </c>
      <c r="M33" s="37">
        <f>ROUND(K33*L33,2)</f>
        <v>3417.72</v>
      </c>
    </row>
    <row r="34" spans="1:13" ht="30.4" customHeight="1" thickBot="1" x14ac:dyDescent="0.25">
      <c r="A34" s="38" t="s">
        <v>97</v>
      </c>
      <c r="B34" s="39" t="s">
        <v>98</v>
      </c>
      <c r="C34" s="39" t="s">
        <v>99</v>
      </c>
      <c r="D34" s="64" t="s">
        <v>100</v>
      </c>
      <c r="E34" s="64"/>
      <c r="F34" s="64"/>
      <c r="G34" s="64"/>
      <c r="H34" s="64"/>
      <c r="I34" s="64"/>
      <c r="J34" s="64"/>
      <c r="K34" s="40">
        <f>ROUND(10,2)</f>
        <v>10</v>
      </c>
      <c r="L34" s="41">
        <f>L39</f>
        <v>3.51</v>
      </c>
      <c r="M34" s="41">
        <f>ROUND(K34*L34,2)</f>
        <v>35.1</v>
      </c>
    </row>
    <row r="35" spans="1:13" ht="67.150000000000006" customHeight="1" thickBot="1" x14ac:dyDescent="0.25">
      <c r="A35" s="22"/>
      <c r="B35" s="22"/>
      <c r="C35" s="22"/>
      <c r="D35" s="63" t="s">
        <v>101</v>
      </c>
      <c r="E35" s="63"/>
      <c r="F35" s="63"/>
      <c r="G35" s="63"/>
      <c r="H35" s="63"/>
      <c r="I35" s="63"/>
      <c r="J35" s="63"/>
      <c r="K35" s="63"/>
      <c r="L35" s="63"/>
      <c r="M35" s="63"/>
    </row>
    <row r="36" spans="1:13" ht="15" customHeight="1" thickBot="1" x14ac:dyDescent="0.25">
      <c r="A36" s="5" t="s">
        <v>102</v>
      </c>
      <c r="B36" s="5" t="s">
        <v>103</v>
      </c>
      <c r="C36" s="5" t="s">
        <v>104</v>
      </c>
      <c r="D36" s="63" t="s">
        <v>105</v>
      </c>
      <c r="E36" s="63"/>
      <c r="F36" s="63"/>
      <c r="G36" s="63"/>
      <c r="H36" s="63"/>
      <c r="I36" s="63"/>
      <c r="J36" s="63"/>
      <c r="K36" s="20">
        <v>4.5999999999999999E-2</v>
      </c>
      <c r="L36" s="21">
        <f>ROUND(24.23,2)</f>
        <v>24.23</v>
      </c>
      <c r="M36" s="21">
        <f>ROUND(K36*L36,2)</f>
        <v>1.1100000000000001</v>
      </c>
    </row>
    <row r="37" spans="1:13" ht="15" customHeight="1" thickBot="1" x14ac:dyDescent="0.25">
      <c r="A37" s="5" t="s">
        <v>106</v>
      </c>
      <c r="B37" s="5" t="s">
        <v>107</v>
      </c>
      <c r="C37" s="5" t="s">
        <v>108</v>
      </c>
      <c r="D37" s="63" t="s">
        <v>109</v>
      </c>
      <c r="E37" s="63"/>
      <c r="F37" s="63"/>
      <c r="G37" s="63"/>
      <c r="H37" s="63"/>
      <c r="I37" s="63"/>
      <c r="J37" s="63"/>
      <c r="K37" s="20">
        <v>9.1999999999999998E-2</v>
      </c>
      <c r="L37" s="21">
        <f>ROUND(23.46,2)</f>
        <v>23.46</v>
      </c>
      <c r="M37" s="21">
        <f>ROUND(K37*L37,2)</f>
        <v>2.16</v>
      </c>
    </row>
    <row r="38" spans="1:13" ht="15" customHeight="1" thickBot="1" x14ac:dyDescent="0.25">
      <c r="A38" s="5" t="s">
        <v>110</v>
      </c>
      <c r="B38" s="5"/>
      <c r="C38" s="5" t="s">
        <v>111</v>
      </c>
      <c r="D38" s="63" t="s">
        <v>112</v>
      </c>
      <c r="E38" s="63"/>
      <c r="F38" s="63"/>
      <c r="G38" s="63"/>
      <c r="H38" s="63"/>
      <c r="I38" s="63"/>
      <c r="J38" s="63"/>
      <c r="K38" s="20">
        <v>2</v>
      </c>
      <c r="L38" s="21">
        <f>ROUND(3.27,2)</f>
        <v>3.27</v>
      </c>
      <c r="M38" s="21">
        <f>ROUND((K38*L38)/100,2)</f>
        <v>7.0000000000000007E-2</v>
      </c>
    </row>
    <row r="39" spans="1:13" ht="15.4" customHeight="1" thickBot="1" x14ac:dyDescent="0.25">
      <c r="A39" s="34"/>
      <c r="B39" s="34"/>
      <c r="C39" s="34"/>
      <c r="D39" s="35" t="s">
        <v>113</v>
      </c>
      <c r="E39" s="34"/>
      <c r="F39" s="34"/>
      <c r="G39" s="34"/>
      <c r="H39" s="34"/>
      <c r="I39" s="34"/>
      <c r="J39" s="34"/>
      <c r="K39" s="36">
        <v>10</v>
      </c>
      <c r="L39" s="37">
        <f>ROUND((M36+M37+M38)*(1+M2/100),2)</f>
        <v>3.51</v>
      </c>
      <c r="M39" s="37">
        <f>ROUND(K39*L39,2)</f>
        <v>35.1</v>
      </c>
    </row>
    <row r="40" spans="1:13" ht="21.2" customHeight="1" thickBot="1" x14ac:dyDescent="0.25">
      <c r="A40" s="38" t="s">
        <v>114</v>
      </c>
      <c r="B40" s="39" t="s">
        <v>115</v>
      </c>
      <c r="C40" s="39" t="s">
        <v>116</v>
      </c>
      <c r="D40" s="64" t="s">
        <v>117</v>
      </c>
      <c r="E40" s="64"/>
      <c r="F40" s="64"/>
      <c r="G40" s="64"/>
      <c r="H40" s="64"/>
      <c r="I40" s="64"/>
      <c r="J40" s="64"/>
      <c r="K40" s="40">
        <f>SUM(K43:K45)</f>
        <v>144.946</v>
      </c>
      <c r="L40" s="41">
        <f>L51</f>
        <v>5.16</v>
      </c>
      <c r="M40" s="41">
        <f>ROUND(K40*L40,2)</f>
        <v>747.92</v>
      </c>
    </row>
    <row r="41" spans="1:13" ht="57.95" customHeight="1" thickBot="1" x14ac:dyDescent="0.25">
      <c r="A41" s="22"/>
      <c r="B41" s="22"/>
      <c r="C41" s="22"/>
      <c r="D41" s="63" t="s">
        <v>118</v>
      </c>
      <c r="E41" s="63"/>
      <c r="F41" s="63"/>
      <c r="G41" s="63"/>
      <c r="H41" s="63"/>
      <c r="I41" s="63"/>
      <c r="J41" s="63"/>
      <c r="K41" s="63"/>
      <c r="L41" s="63"/>
      <c r="M41" s="63"/>
    </row>
    <row r="42" spans="1:13" ht="15" customHeight="1" thickBot="1" x14ac:dyDescent="0.25">
      <c r="A42" s="22"/>
      <c r="B42" s="22"/>
      <c r="C42" s="22"/>
      <c r="D42" s="22"/>
      <c r="E42" s="23"/>
      <c r="F42" s="25" t="s">
        <v>119</v>
      </c>
      <c r="G42" s="25" t="s">
        <v>120</v>
      </c>
      <c r="H42" s="25" t="s">
        <v>121</v>
      </c>
      <c r="I42" s="25" t="s">
        <v>122</v>
      </c>
      <c r="J42" s="25" t="s">
        <v>123</v>
      </c>
      <c r="K42" s="25" t="s">
        <v>124</v>
      </c>
      <c r="L42" s="22"/>
      <c r="M42" s="22"/>
    </row>
    <row r="43" spans="1:13" ht="15" customHeight="1" thickBot="1" x14ac:dyDescent="0.25">
      <c r="A43" s="22"/>
      <c r="B43" s="22"/>
      <c r="C43" s="22"/>
      <c r="D43" s="26"/>
      <c r="E43" s="27" t="s">
        <v>125</v>
      </c>
      <c r="F43" s="28"/>
      <c r="G43" s="29">
        <v>232</v>
      </c>
      <c r="H43" s="29">
        <v>0.5</v>
      </c>
      <c r="I43" s="29">
        <v>1.1499999999999999</v>
      </c>
      <c r="J43" s="31">
        <f>ROUND(G43*H43*I43,3)</f>
        <v>133.4</v>
      </c>
      <c r="K43" s="42"/>
      <c r="L43" s="22"/>
      <c r="M43" s="22"/>
    </row>
    <row r="44" spans="1:13" ht="15" customHeight="1" thickBot="1" x14ac:dyDescent="0.25">
      <c r="A44" s="22"/>
      <c r="B44" s="22"/>
      <c r="C44" s="22"/>
      <c r="D44" s="26"/>
      <c r="E44" s="5" t="s">
        <v>126</v>
      </c>
      <c r="F44" s="3">
        <v>12</v>
      </c>
      <c r="G44" s="21">
        <v>0.5</v>
      </c>
      <c r="H44" s="21">
        <v>0.5</v>
      </c>
      <c r="I44" s="21">
        <v>1.1499999999999999</v>
      </c>
      <c r="J44" s="30">
        <f>ROUND(F44*G44*H44*I44,3)</f>
        <v>3.45</v>
      </c>
      <c r="K44" s="22"/>
      <c r="L44" s="22"/>
      <c r="M44" s="22"/>
    </row>
    <row r="45" spans="1:13" ht="15" customHeight="1" thickBot="1" x14ac:dyDescent="0.25">
      <c r="A45" s="22"/>
      <c r="B45" s="22"/>
      <c r="C45" s="22"/>
      <c r="D45" s="26"/>
      <c r="E45" s="5" t="s">
        <v>127</v>
      </c>
      <c r="F45" s="3">
        <v>11</v>
      </c>
      <c r="G45" s="21">
        <v>0.8</v>
      </c>
      <c r="H45" s="21">
        <v>0.8</v>
      </c>
      <c r="I45" s="21">
        <v>1.1499999999999999</v>
      </c>
      <c r="J45" s="30">
        <f>ROUND(F45*G45*H45*I45,3)</f>
        <v>8.0960000000000001</v>
      </c>
      <c r="K45" s="32">
        <f>SUM(J43:J45)</f>
        <v>144.946</v>
      </c>
      <c r="L45" s="22"/>
      <c r="M45" s="22"/>
    </row>
    <row r="46" spans="1:13" ht="15" customHeight="1" thickBot="1" x14ac:dyDescent="0.25">
      <c r="A46" s="5" t="s">
        <v>128</v>
      </c>
      <c r="B46" s="5" t="s">
        <v>129</v>
      </c>
      <c r="C46" s="5" t="s">
        <v>130</v>
      </c>
      <c r="D46" s="63" t="s">
        <v>131</v>
      </c>
      <c r="E46" s="63"/>
      <c r="F46" s="63"/>
      <c r="G46" s="63"/>
      <c r="H46" s="63"/>
      <c r="I46" s="63"/>
      <c r="J46" s="63"/>
      <c r="K46" s="20">
        <v>5.2999999999999999E-2</v>
      </c>
      <c r="L46" s="21">
        <f>ROUND(4.76,2)</f>
        <v>4.76</v>
      </c>
      <c r="M46" s="21">
        <f>ROUND(K46*L46,2)</f>
        <v>0.25</v>
      </c>
    </row>
    <row r="47" spans="1:13" ht="15" customHeight="1" thickBot="1" x14ac:dyDescent="0.25">
      <c r="A47" s="5" t="s">
        <v>132</v>
      </c>
      <c r="B47" s="5" t="s">
        <v>133</v>
      </c>
      <c r="C47" s="5" t="s">
        <v>134</v>
      </c>
      <c r="D47" s="63" t="s">
        <v>135</v>
      </c>
      <c r="E47" s="63"/>
      <c r="F47" s="63"/>
      <c r="G47" s="63"/>
      <c r="H47" s="63"/>
      <c r="I47" s="63"/>
      <c r="J47" s="63"/>
      <c r="K47" s="20">
        <v>5.2999999999999999E-2</v>
      </c>
      <c r="L47" s="21">
        <f>ROUND(8.08,2)</f>
        <v>8.08</v>
      </c>
      <c r="M47" s="21">
        <f>ROUND(K47*L47,2)</f>
        <v>0.43</v>
      </c>
    </row>
    <row r="48" spans="1:13" ht="15" customHeight="1" thickBot="1" x14ac:dyDescent="0.25">
      <c r="A48" s="5" t="s">
        <v>136</v>
      </c>
      <c r="B48" s="5" t="s">
        <v>137</v>
      </c>
      <c r="C48" s="5" t="s">
        <v>138</v>
      </c>
      <c r="D48" s="63" t="s">
        <v>139</v>
      </c>
      <c r="E48" s="63"/>
      <c r="F48" s="63"/>
      <c r="G48" s="63"/>
      <c r="H48" s="63"/>
      <c r="I48" s="63"/>
      <c r="J48" s="63"/>
      <c r="K48" s="20">
        <v>5.8000000000000003E-2</v>
      </c>
      <c r="L48" s="21">
        <f>ROUND(24.23,2)</f>
        <v>24.23</v>
      </c>
      <c r="M48" s="21">
        <f>ROUND(K48*L48,2)</f>
        <v>1.41</v>
      </c>
    </row>
    <row r="49" spans="1:13" ht="15" customHeight="1" thickBot="1" x14ac:dyDescent="0.25">
      <c r="A49" s="5" t="s">
        <v>140</v>
      </c>
      <c r="B49" s="5" t="s">
        <v>141</v>
      </c>
      <c r="C49" s="5" t="s">
        <v>142</v>
      </c>
      <c r="D49" s="63" t="s">
        <v>143</v>
      </c>
      <c r="E49" s="63"/>
      <c r="F49" s="63"/>
      <c r="G49" s="63"/>
      <c r="H49" s="63"/>
      <c r="I49" s="63"/>
      <c r="J49" s="63"/>
      <c r="K49" s="20">
        <v>0.11600000000000001</v>
      </c>
      <c r="L49" s="21">
        <f>ROUND(23.46,2)</f>
        <v>23.46</v>
      </c>
      <c r="M49" s="21">
        <f>ROUND(K49*L49,2)</f>
        <v>2.72</v>
      </c>
    </row>
    <row r="50" spans="1:13" ht="15" customHeight="1" thickBot="1" x14ac:dyDescent="0.25">
      <c r="A50" s="5" t="s">
        <v>144</v>
      </c>
      <c r="B50" s="5"/>
      <c r="C50" s="5" t="s">
        <v>145</v>
      </c>
      <c r="D50" s="63" t="s">
        <v>146</v>
      </c>
      <c r="E50" s="63"/>
      <c r="F50" s="63"/>
      <c r="G50" s="63"/>
      <c r="H50" s="63"/>
      <c r="I50" s="63"/>
      <c r="J50" s="63"/>
      <c r="K50" s="20">
        <v>2</v>
      </c>
      <c r="L50" s="21">
        <f>ROUND(4.81,2)</f>
        <v>4.8099999999999996</v>
      </c>
      <c r="M50" s="21">
        <f>ROUND((K50*L50)/100,2)</f>
        <v>0.1</v>
      </c>
    </row>
    <row r="51" spans="1:13" ht="15.4" customHeight="1" thickBot="1" x14ac:dyDescent="0.25">
      <c r="A51" s="34"/>
      <c r="B51" s="34"/>
      <c r="C51" s="34"/>
      <c r="D51" s="35" t="s">
        <v>147</v>
      </c>
      <c r="E51" s="34"/>
      <c r="F51" s="34"/>
      <c r="G51" s="34"/>
      <c r="H51" s="34"/>
      <c r="I51" s="34"/>
      <c r="J51" s="34"/>
      <c r="K51" s="36">
        <v>144.946</v>
      </c>
      <c r="L51" s="37">
        <f>ROUND((M46+M47+M48+M49+M50)*(1+M2/100),2)</f>
        <v>5.16</v>
      </c>
      <c r="M51" s="37">
        <f>ROUND(K51*L51,2)</f>
        <v>747.92</v>
      </c>
    </row>
    <row r="52" spans="1:13" ht="15.4" customHeight="1" thickBot="1" x14ac:dyDescent="0.25">
      <c r="A52" s="43"/>
      <c r="B52" s="43"/>
      <c r="C52" s="43"/>
      <c r="D52" s="44" t="s">
        <v>148</v>
      </c>
      <c r="E52" s="45"/>
      <c r="F52" s="45"/>
      <c r="G52" s="45"/>
      <c r="H52" s="45"/>
      <c r="I52" s="45"/>
      <c r="J52" s="45"/>
      <c r="K52" s="45"/>
      <c r="L52" s="46">
        <f>M7+M9+M11+M22+M34+M40</f>
        <v>5774.02</v>
      </c>
      <c r="M52" s="46">
        <f>ROUND(L52,2)</f>
        <v>5774.02</v>
      </c>
    </row>
    <row r="53" spans="1:13" ht="15.4" customHeight="1" thickBot="1" x14ac:dyDescent="0.25">
      <c r="A53" s="47" t="s">
        <v>149</v>
      </c>
      <c r="B53" s="47" t="s">
        <v>150</v>
      </c>
      <c r="C53" s="48"/>
      <c r="D53" s="65" t="s">
        <v>151</v>
      </c>
      <c r="E53" s="65"/>
      <c r="F53" s="65"/>
      <c r="G53" s="65"/>
      <c r="H53" s="65"/>
      <c r="I53" s="65"/>
      <c r="J53" s="65"/>
      <c r="K53" s="48"/>
      <c r="L53" s="49">
        <f>L189</f>
        <v>23856.34</v>
      </c>
      <c r="M53" s="49">
        <f>ROUND(L53,2)</f>
        <v>23856.34</v>
      </c>
    </row>
    <row r="54" spans="1:13" ht="15.4" customHeight="1" thickBot="1" x14ac:dyDescent="0.25">
      <c r="A54" s="10" t="s">
        <v>152</v>
      </c>
      <c r="B54" s="5" t="s">
        <v>153</v>
      </c>
      <c r="C54" s="5" t="s">
        <v>154</v>
      </c>
      <c r="D54" s="63" t="s">
        <v>155</v>
      </c>
      <c r="E54" s="63"/>
      <c r="F54" s="63"/>
      <c r="G54" s="63"/>
      <c r="H54" s="63"/>
      <c r="I54" s="63"/>
      <c r="J54" s="63"/>
      <c r="K54" s="20">
        <f>SUM(K57:K60)</f>
        <v>38.290000000000006</v>
      </c>
      <c r="L54" s="21">
        <f>L65</f>
        <v>91.62</v>
      </c>
      <c r="M54" s="21">
        <f>ROUND(K54*L54,2)</f>
        <v>3508.13</v>
      </c>
    </row>
    <row r="55" spans="1:13" ht="21.2" customHeight="1" thickBot="1" x14ac:dyDescent="0.25">
      <c r="A55" s="22"/>
      <c r="B55" s="22"/>
      <c r="C55" s="22"/>
      <c r="D55" s="63" t="s">
        <v>156</v>
      </c>
      <c r="E55" s="63"/>
      <c r="F55" s="63"/>
      <c r="G55" s="63"/>
      <c r="H55" s="63"/>
      <c r="I55" s="63"/>
      <c r="J55" s="63"/>
      <c r="K55" s="63"/>
      <c r="L55" s="63"/>
      <c r="M55" s="63"/>
    </row>
    <row r="56" spans="1:13" ht="15" customHeight="1" thickBot="1" x14ac:dyDescent="0.25">
      <c r="A56" s="22"/>
      <c r="B56" s="22"/>
      <c r="C56" s="22"/>
      <c r="D56" s="22"/>
      <c r="E56" s="23"/>
      <c r="F56" s="25" t="s">
        <v>157</v>
      </c>
      <c r="G56" s="25" t="s">
        <v>158</v>
      </c>
      <c r="H56" s="25" t="s">
        <v>159</v>
      </c>
      <c r="I56" s="25" t="s">
        <v>160</v>
      </c>
      <c r="J56" s="25" t="s">
        <v>161</v>
      </c>
      <c r="K56" s="25" t="s">
        <v>162</v>
      </c>
      <c r="L56" s="22"/>
      <c r="M56" s="22"/>
    </row>
    <row r="57" spans="1:13" ht="21.2" customHeight="1" thickBot="1" x14ac:dyDescent="0.25">
      <c r="A57" s="22"/>
      <c r="B57" s="22"/>
      <c r="C57" s="22"/>
      <c r="D57" s="26"/>
      <c r="E57" s="27" t="s">
        <v>163</v>
      </c>
      <c r="F57" s="28">
        <v>1.1499999999999999</v>
      </c>
      <c r="G57" s="29">
        <v>39</v>
      </c>
      <c r="H57" s="29">
        <v>0.5</v>
      </c>
      <c r="I57" s="29">
        <v>0.4</v>
      </c>
      <c r="J57" s="31">
        <f>ROUND(F57*G57*H57*I57,3)</f>
        <v>8.9700000000000006</v>
      </c>
      <c r="K57" s="42"/>
      <c r="L57" s="22"/>
      <c r="M57" s="22"/>
    </row>
    <row r="58" spans="1:13" ht="15" customHeight="1" thickBot="1" x14ac:dyDescent="0.25">
      <c r="A58" s="22"/>
      <c r="B58" s="22"/>
      <c r="C58" s="22"/>
      <c r="D58" s="26"/>
      <c r="E58" s="5" t="s">
        <v>164</v>
      </c>
      <c r="F58" s="3">
        <v>1.1499999999999999</v>
      </c>
      <c r="G58" s="21">
        <v>232</v>
      </c>
      <c r="H58" s="21">
        <v>0.5</v>
      </c>
      <c r="I58" s="21">
        <v>0.15</v>
      </c>
      <c r="J58" s="30">
        <f>ROUND(F58*G58*H58*I58,3)</f>
        <v>20.010000000000002</v>
      </c>
      <c r="K58" s="22"/>
      <c r="L58" s="22"/>
      <c r="M58" s="22"/>
    </row>
    <row r="59" spans="1:13" ht="21.2" customHeight="1" thickBot="1" x14ac:dyDescent="0.25">
      <c r="A59" s="22"/>
      <c r="B59" s="22"/>
      <c r="C59" s="22"/>
      <c r="D59" s="26"/>
      <c r="E59" s="5" t="s">
        <v>165</v>
      </c>
      <c r="F59" s="3">
        <v>12.65</v>
      </c>
      <c r="G59" s="21">
        <v>0.8</v>
      </c>
      <c r="H59" s="21">
        <v>0.8</v>
      </c>
      <c r="I59" s="21">
        <v>1</v>
      </c>
      <c r="J59" s="30">
        <f>ROUND(F59*G59*H59*I59,3)</f>
        <v>8.0960000000000001</v>
      </c>
      <c r="K59" s="22"/>
      <c r="L59" s="22"/>
      <c r="M59" s="22"/>
    </row>
    <row r="60" spans="1:13" ht="21.2" customHeight="1" thickBot="1" x14ac:dyDescent="0.25">
      <c r="A60" s="22"/>
      <c r="B60" s="22"/>
      <c r="C60" s="22"/>
      <c r="D60" s="26"/>
      <c r="E60" s="5" t="s">
        <v>166</v>
      </c>
      <c r="F60" s="3">
        <v>12.65</v>
      </c>
      <c r="G60" s="21">
        <v>0.8</v>
      </c>
      <c r="H60" s="21">
        <v>0.8</v>
      </c>
      <c r="I60" s="21">
        <v>0.15</v>
      </c>
      <c r="J60" s="30">
        <f>ROUND(F60*G60*H60*I60,3)</f>
        <v>1.214</v>
      </c>
      <c r="K60" s="32">
        <f>SUM(J57:J60)</f>
        <v>38.290000000000006</v>
      </c>
      <c r="L60" s="22"/>
      <c r="M60" s="22"/>
    </row>
    <row r="61" spans="1:13" ht="15" customHeight="1" thickBot="1" x14ac:dyDescent="0.25">
      <c r="A61" s="5" t="s">
        <v>167</v>
      </c>
      <c r="B61" s="5" t="s">
        <v>168</v>
      </c>
      <c r="C61" s="5" t="s">
        <v>169</v>
      </c>
      <c r="D61" s="63" t="s">
        <v>170</v>
      </c>
      <c r="E61" s="63"/>
      <c r="F61" s="63"/>
      <c r="G61" s="63"/>
      <c r="H61" s="63"/>
      <c r="I61" s="63"/>
      <c r="J61" s="63"/>
      <c r="K61" s="20">
        <v>0.443</v>
      </c>
      <c r="L61" s="21">
        <f>ROUND(28.06,2)</f>
        <v>28.06</v>
      </c>
      <c r="M61" s="21">
        <f t="shared" ref="M61:M66" si="0">ROUND(K61*L61,2)</f>
        <v>12.43</v>
      </c>
    </row>
    <row r="62" spans="1:13" ht="15" customHeight="1" thickBot="1" x14ac:dyDescent="0.25">
      <c r="A62" s="5" t="s">
        <v>171</v>
      </c>
      <c r="B62" s="5" t="s">
        <v>172</v>
      </c>
      <c r="C62" s="5" t="s">
        <v>173</v>
      </c>
      <c r="D62" s="63" t="s">
        <v>174</v>
      </c>
      <c r="E62" s="63"/>
      <c r="F62" s="63"/>
      <c r="G62" s="63"/>
      <c r="H62" s="63"/>
      <c r="I62" s="63"/>
      <c r="J62" s="63"/>
      <c r="K62" s="20">
        <v>0.45</v>
      </c>
      <c r="L62" s="21">
        <f>ROUND(23.46,2)</f>
        <v>23.46</v>
      </c>
      <c r="M62" s="21">
        <f t="shared" si="0"/>
        <v>10.56</v>
      </c>
    </row>
    <row r="63" spans="1:13" ht="15" customHeight="1" thickBot="1" x14ac:dyDescent="0.25">
      <c r="A63" s="5" t="s">
        <v>175</v>
      </c>
      <c r="B63" s="5" t="s">
        <v>176</v>
      </c>
      <c r="C63" s="5" t="s">
        <v>177</v>
      </c>
      <c r="D63" s="63" t="s">
        <v>178</v>
      </c>
      <c r="E63" s="63"/>
      <c r="F63" s="63"/>
      <c r="G63" s="63"/>
      <c r="H63" s="63"/>
      <c r="I63" s="63"/>
      <c r="J63" s="63"/>
      <c r="K63" s="20">
        <v>1.05</v>
      </c>
      <c r="L63" s="21">
        <f>ROUND(60.23,2)</f>
        <v>60.23</v>
      </c>
      <c r="M63" s="21">
        <f t="shared" si="0"/>
        <v>63.24</v>
      </c>
    </row>
    <row r="64" spans="1:13" ht="15" customHeight="1" thickBot="1" x14ac:dyDescent="0.25">
      <c r="A64" s="5" t="s">
        <v>179</v>
      </c>
      <c r="B64" s="5" t="s">
        <v>180</v>
      </c>
      <c r="C64" s="5" t="s">
        <v>181</v>
      </c>
      <c r="D64" s="63" t="s">
        <v>182</v>
      </c>
      <c r="E64" s="63"/>
      <c r="F64" s="63"/>
      <c r="G64" s="63"/>
      <c r="H64" s="63"/>
      <c r="I64" s="63"/>
      <c r="J64" s="63"/>
      <c r="K64" s="20">
        <v>0.2</v>
      </c>
      <c r="L64" s="21">
        <f>ROUND(5.14,2)</f>
        <v>5.14</v>
      </c>
      <c r="M64" s="21">
        <f t="shared" si="0"/>
        <v>1.03</v>
      </c>
    </row>
    <row r="65" spans="1:13" ht="15.4" customHeight="1" thickBot="1" x14ac:dyDescent="0.25">
      <c r="A65" s="34"/>
      <c r="B65" s="34"/>
      <c r="C65" s="34"/>
      <c r="D65" s="35" t="s">
        <v>183</v>
      </c>
      <c r="E65" s="34"/>
      <c r="F65" s="34"/>
      <c r="G65" s="34"/>
      <c r="H65" s="34"/>
      <c r="I65" s="34"/>
      <c r="J65" s="34"/>
      <c r="K65" s="36">
        <v>38.29</v>
      </c>
      <c r="L65" s="37">
        <f>ROUND((M61+M62+M63+M64)*(1+M2/100),2)</f>
        <v>91.62</v>
      </c>
      <c r="M65" s="37">
        <f t="shared" si="0"/>
        <v>3508.13</v>
      </c>
    </row>
    <row r="66" spans="1:13" ht="30.4" customHeight="1" thickBot="1" x14ac:dyDescent="0.25">
      <c r="A66" s="38" t="s">
        <v>184</v>
      </c>
      <c r="B66" s="39" t="s">
        <v>185</v>
      </c>
      <c r="C66" s="39" t="s">
        <v>186</v>
      </c>
      <c r="D66" s="64" t="s">
        <v>187</v>
      </c>
      <c r="E66" s="64"/>
      <c r="F66" s="64"/>
      <c r="G66" s="64"/>
      <c r="H66" s="64"/>
      <c r="I66" s="64"/>
      <c r="J66" s="64"/>
      <c r="K66" s="40">
        <f>ROUND(3,2)</f>
        <v>3</v>
      </c>
      <c r="L66" s="41">
        <f>ROUND(31.25*(1+M2/100),2)</f>
        <v>32.81</v>
      </c>
      <c r="M66" s="41">
        <f t="shared" si="0"/>
        <v>98.43</v>
      </c>
    </row>
    <row r="67" spans="1:13" ht="30.4" customHeight="1" thickBot="1" x14ac:dyDescent="0.25">
      <c r="A67" s="22"/>
      <c r="B67" s="22"/>
      <c r="C67" s="22"/>
      <c r="D67" s="63" t="s">
        <v>188</v>
      </c>
      <c r="E67" s="63"/>
      <c r="F67" s="63"/>
      <c r="G67" s="63"/>
      <c r="H67" s="63"/>
      <c r="I67" s="63"/>
      <c r="J67" s="63"/>
      <c r="K67" s="63"/>
      <c r="L67" s="63"/>
      <c r="M67" s="63"/>
    </row>
    <row r="68" spans="1:13" ht="21.2" customHeight="1" thickBot="1" x14ac:dyDescent="0.25">
      <c r="A68" s="10" t="s">
        <v>189</v>
      </c>
      <c r="B68" s="5" t="s">
        <v>190</v>
      </c>
      <c r="C68" s="5" t="s">
        <v>191</v>
      </c>
      <c r="D68" s="63" t="s">
        <v>192</v>
      </c>
      <c r="E68" s="63"/>
      <c r="F68" s="63"/>
      <c r="G68" s="63"/>
      <c r="H68" s="63"/>
      <c r="I68" s="63"/>
      <c r="J68" s="63"/>
      <c r="K68" s="20">
        <f>SUM(K71:K74)</f>
        <v>101.453</v>
      </c>
      <c r="L68" s="21">
        <f>L78</f>
        <v>29.19</v>
      </c>
      <c r="M68" s="21">
        <f>ROUND(K68*L68,2)</f>
        <v>2961.41</v>
      </c>
    </row>
    <row r="69" spans="1:13" ht="94.7" customHeight="1" thickBot="1" x14ac:dyDescent="0.25">
      <c r="A69" s="22"/>
      <c r="B69" s="22"/>
      <c r="C69" s="22"/>
      <c r="D69" s="63" t="s">
        <v>193</v>
      </c>
      <c r="E69" s="63"/>
      <c r="F69" s="63"/>
      <c r="G69" s="63"/>
      <c r="H69" s="63"/>
      <c r="I69" s="63"/>
      <c r="J69" s="63"/>
      <c r="K69" s="63"/>
      <c r="L69" s="63"/>
      <c r="M69" s="63"/>
    </row>
    <row r="70" spans="1:13" ht="15" customHeight="1" thickBot="1" x14ac:dyDescent="0.25">
      <c r="A70" s="22"/>
      <c r="B70" s="22"/>
      <c r="C70" s="22"/>
      <c r="D70" s="22"/>
      <c r="E70" s="23"/>
      <c r="F70" s="25" t="s">
        <v>194</v>
      </c>
      <c r="G70" s="25" t="s">
        <v>195</v>
      </c>
      <c r="H70" s="25" t="s">
        <v>196</v>
      </c>
      <c r="I70" s="25" t="s">
        <v>197</v>
      </c>
      <c r="J70" s="25" t="s">
        <v>198</v>
      </c>
      <c r="K70" s="25" t="s">
        <v>199</v>
      </c>
      <c r="L70" s="22"/>
      <c r="M70" s="22"/>
    </row>
    <row r="71" spans="1:13" ht="21.2" customHeight="1" thickBot="1" x14ac:dyDescent="0.25">
      <c r="A71" s="22"/>
      <c r="B71" s="22"/>
      <c r="C71" s="22"/>
      <c r="D71" s="26"/>
      <c r="E71" s="27" t="s">
        <v>200</v>
      </c>
      <c r="F71" s="28">
        <v>1.1499999999999999</v>
      </c>
      <c r="G71" s="29">
        <v>39</v>
      </c>
      <c r="H71" s="29">
        <v>0.5</v>
      </c>
      <c r="I71" s="29">
        <v>1.2</v>
      </c>
      <c r="J71" s="31">
        <f>ROUND(F71*G71*H71*I71,3)</f>
        <v>26.91</v>
      </c>
      <c r="K71" s="42"/>
      <c r="L71" s="22"/>
      <c r="M71" s="22"/>
    </row>
    <row r="72" spans="1:13" ht="15" customHeight="1" thickBot="1" x14ac:dyDescent="0.25">
      <c r="A72" s="22"/>
      <c r="B72" s="22"/>
      <c r="C72" s="22"/>
      <c r="D72" s="26"/>
      <c r="E72" s="5" t="s">
        <v>201</v>
      </c>
      <c r="F72" s="3">
        <v>1.1499999999999999</v>
      </c>
      <c r="G72" s="21">
        <v>232</v>
      </c>
      <c r="H72" s="21">
        <v>0.4</v>
      </c>
      <c r="I72" s="21">
        <v>0.6</v>
      </c>
      <c r="J72" s="30">
        <f>ROUND(F72*G72*H72*I72,3)</f>
        <v>64.031999999999996</v>
      </c>
      <c r="K72" s="22"/>
      <c r="L72" s="22"/>
      <c r="M72" s="22"/>
    </row>
    <row r="73" spans="1:13" ht="15" customHeight="1" thickBot="1" x14ac:dyDescent="0.25">
      <c r="A73" s="22"/>
      <c r="B73" s="22"/>
      <c r="C73" s="22"/>
      <c r="D73" s="26"/>
      <c r="E73" s="5" t="s">
        <v>202</v>
      </c>
      <c r="F73" s="3">
        <v>13.8</v>
      </c>
      <c r="G73" s="21">
        <v>0.5</v>
      </c>
      <c r="H73" s="21">
        <v>0.5</v>
      </c>
      <c r="I73" s="21">
        <v>0.7</v>
      </c>
      <c r="J73" s="30">
        <f>ROUND(F73*G73*H73*I73,3)</f>
        <v>2.415</v>
      </c>
      <c r="K73" s="22"/>
      <c r="L73" s="22"/>
      <c r="M73" s="22"/>
    </row>
    <row r="74" spans="1:13" ht="21.2" customHeight="1" thickBot="1" x14ac:dyDescent="0.25">
      <c r="A74" s="22"/>
      <c r="B74" s="22"/>
      <c r="C74" s="22"/>
      <c r="D74" s="26"/>
      <c r="E74" s="5" t="s">
        <v>203</v>
      </c>
      <c r="F74" s="3">
        <v>12.65</v>
      </c>
      <c r="G74" s="21">
        <v>0.8</v>
      </c>
      <c r="H74" s="21">
        <v>0.8</v>
      </c>
      <c r="I74" s="21">
        <v>1</v>
      </c>
      <c r="J74" s="30">
        <f>ROUND(F74*G74*H74*I74,3)</f>
        <v>8.0960000000000001</v>
      </c>
      <c r="K74" s="32">
        <f>SUM(J71:J74)</f>
        <v>101.453</v>
      </c>
      <c r="L74" s="22"/>
      <c r="M74" s="22"/>
    </row>
    <row r="75" spans="1:13" ht="15" customHeight="1" thickBot="1" x14ac:dyDescent="0.25">
      <c r="A75" s="5" t="s">
        <v>204</v>
      </c>
      <c r="B75" s="5" t="s">
        <v>205</v>
      </c>
      <c r="C75" s="5" t="s">
        <v>206</v>
      </c>
      <c r="D75" s="63" t="s">
        <v>207</v>
      </c>
      <c r="E75" s="63"/>
      <c r="F75" s="63"/>
      <c r="G75" s="63"/>
      <c r="H75" s="63"/>
      <c r="I75" s="63"/>
      <c r="J75" s="63"/>
      <c r="K75" s="20">
        <v>0.35699999999999998</v>
      </c>
      <c r="L75" s="21">
        <f>ROUND(56.7,2)</f>
        <v>56.7</v>
      </c>
      <c r="M75" s="21">
        <f>ROUND(K75*L75,2)</f>
        <v>20.239999999999998</v>
      </c>
    </row>
    <row r="76" spans="1:13" ht="15" customHeight="1" thickBot="1" x14ac:dyDescent="0.25">
      <c r="A76" s="5" t="s">
        <v>208</v>
      </c>
      <c r="B76" s="5" t="s">
        <v>209</v>
      </c>
      <c r="C76" s="5" t="s">
        <v>210</v>
      </c>
      <c r="D76" s="63" t="s">
        <v>211</v>
      </c>
      <c r="E76" s="63"/>
      <c r="F76" s="63"/>
      <c r="G76" s="63"/>
      <c r="H76" s="63"/>
      <c r="I76" s="63"/>
      <c r="J76" s="63"/>
      <c r="K76" s="20">
        <v>0.29899999999999999</v>
      </c>
      <c r="L76" s="21">
        <f>ROUND(23.46,2)</f>
        <v>23.46</v>
      </c>
      <c r="M76" s="21">
        <f>ROUND(K76*L76,2)</f>
        <v>7.01</v>
      </c>
    </row>
    <row r="77" spans="1:13" ht="15" customHeight="1" thickBot="1" x14ac:dyDescent="0.25">
      <c r="A77" s="5" t="s">
        <v>212</v>
      </c>
      <c r="B77" s="5"/>
      <c r="C77" s="5" t="s">
        <v>213</v>
      </c>
      <c r="D77" s="63" t="s">
        <v>214</v>
      </c>
      <c r="E77" s="63"/>
      <c r="F77" s="63"/>
      <c r="G77" s="63"/>
      <c r="H77" s="63"/>
      <c r="I77" s="63"/>
      <c r="J77" s="63"/>
      <c r="K77" s="20">
        <v>2</v>
      </c>
      <c r="L77" s="21">
        <f>ROUND(27.25,2)</f>
        <v>27.25</v>
      </c>
      <c r="M77" s="21">
        <f>ROUND((K77*L77)/100,2)</f>
        <v>0.55000000000000004</v>
      </c>
    </row>
    <row r="78" spans="1:13" ht="15.4" customHeight="1" thickBot="1" x14ac:dyDescent="0.25">
      <c r="A78" s="34"/>
      <c r="B78" s="34"/>
      <c r="C78" s="34"/>
      <c r="D78" s="35" t="s">
        <v>215</v>
      </c>
      <c r="E78" s="34"/>
      <c r="F78" s="34"/>
      <c r="G78" s="34"/>
      <c r="H78" s="34"/>
      <c r="I78" s="34"/>
      <c r="J78" s="34"/>
      <c r="K78" s="36">
        <v>101.453</v>
      </c>
      <c r="L78" s="37">
        <f>ROUND((M75+M76+M77)*(1+M2/100),2)</f>
        <v>29.19</v>
      </c>
      <c r="M78" s="37">
        <f>ROUND(K78*L78,2)</f>
        <v>2961.41</v>
      </c>
    </row>
    <row r="79" spans="1:13" ht="21.2" customHeight="1" thickBot="1" x14ac:dyDescent="0.25">
      <c r="A79" s="38" t="s">
        <v>216</v>
      </c>
      <c r="B79" s="39" t="s">
        <v>217</v>
      </c>
      <c r="C79" s="39" t="s">
        <v>218</v>
      </c>
      <c r="D79" s="64" t="s">
        <v>219</v>
      </c>
      <c r="E79" s="64"/>
      <c r="F79" s="64"/>
      <c r="G79" s="64"/>
      <c r="H79" s="64"/>
      <c r="I79" s="64"/>
      <c r="J79" s="64"/>
      <c r="K79" s="40">
        <f>ROUND(1,2)</f>
        <v>1</v>
      </c>
      <c r="L79" s="41">
        <f>L83</f>
        <v>61.71</v>
      </c>
      <c r="M79" s="41">
        <f>ROUND(K79*L79,2)</f>
        <v>61.71</v>
      </c>
    </row>
    <row r="80" spans="1:13" ht="94.7" customHeight="1" thickBot="1" x14ac:dyDescent="0.25">
      <c r="A80" s="22"/>
      <c r="B80" s="22"/>
      <c r="C80" s="22"/>
      <c r="D80" s="63" t="s">
        <v>220</v>
      </c>
      <c r="E80" s="63"/>
      <c r="F80" s="63"/>
      <c r="G80" s="63"/>
      <c r="H80" s="63"/>
      <c r="I80" s="63"/>
      <c r="J80" s="63"/>
      <c r="K80" s="63"/>
      <c r="L80" s="63"/>
      <c r="M80" s="63"/>
    </row>
    <row r="81" spans="1:13" ht="15" customHeight="1" thickBot="1" x14ac:dyDescent="0.25">
      <c r="A81" s="5" t="s">
        <v>221</v>
      </c>
      <c r="B81" s="5" t="s">
        <v>222</v>
      </c>
      <c r="C81" s="5" t="s">
        <v>223</v>
      </c>
      <c r="D81" s="63" t="s">
        <v>224</v>
      </c>
      <c r="E81" s="63"/>
      <c r="F81" s="63"/>
      <c r="G81" s="63"/>
      <c r="H81" s="63"/>
      <c r="I81" s="63"/>
      <c r="J81" s="63"/>
      <c r="K81" s="20">
        <v>2.456</v>
      </c>
      <c r="L81" s="21">
        <f>ROUND(23.46,2)</f>
        <v>23.46</v>
      </c>
      <c r="M81" s="21">
        <f>ROUND(K81*L81,2)</f>
        <v>57.62</v>
      </c>
    </row>
    <row r="82" spans="1:13" ht="15" customHeight="1" thickBot="1" x14ac:dyDescent="0.25">
      <c r="A82" s="5" t="s">
        <v>225</v>
      </c>
      <c r="B82" s="5"/>
      <c r="C82" s="5" t="s">
        <v>226</v>
      </c>
      <c r="D82" s="63" t="s">
        <v>227</v>
      </c>
      <c r="E82" s="63"/>
      <c r="F82" s="63"/>
      <c r="G82" s="63"/>
      <c r="H82" s="63"/>
      <c r="I82" s="63"/>
      <c r="J82" s="63"/>
      <c r="K82" s="20">
        <v>2</v>
      </c>
      <c r="L82" s="21">
        <f>ROUND(57.62,2)</f>
        <v>57.62</v>
      </c>
      <c r="M82" s="21">
        <f>ROUND((K82*L82)/100,2)</f>
        <v>1.1499999999999999</v>
      </c>
    </row>
    <row r="83" spans="1:13" ht="15.4" customHeight="1" thickBot="1" x14ac:dyDescent="0.25">
      <c r="A83" s="34"/>
      <c r="B83" s="34"/>
      <c r="C83" s="34"/>
      <c r="D83" s="35" t="s">
        <v>228</v>
      </c>
      <c r="E83" s="34"/>
      <c r="F83" s="34"/>
      <c r="G83" s="34"/>
      <c r="H83" s="34"/>
      <c r="I83" s="34"/>
      <c r="J83" s="34"/>
      <c r="K83" s="36">
        <v>1</v>
      </c>
      <c r="L83" s="37">
        <f>ROUND((M81+M82)*(1+M2/100),2)</f>
        <v>61.71</v>
      </c>
      <c r="M83" s="37">
        <f>ROUND(K83*L83,2)</f>
        <v>61.71</v>
      </c>
    </row>
    <row r="84" spans="1:13" ht="39.6" customHeight="1" thickBot="1" x14ac:dyDescent="0.25">
      <c r="A84" s="38" t="s">
        <v>229</v>
      </c>
      <c r="B84" s="39" t="s">
        <v>230</v>
      </c>
      <c r="C84" s="39" t="s">
        <v>231</v>
      </c>
      <c r="D84" s="64" t="s">
        <v>232</v>
      </c>
      <c r="E84" s="64"/>
      <c r="F84" s="64"/>
      <c r="G84" s="64"/>
      <c r="H84" s="64"/>
      <c r="I84" s="64"/>
      <c r="J84" s="64"/>
      <c r="K84" s="40">
        <f>SUM(K87:K88)</f>
        <v>49.91</v>
      </c>
      <c r="L84" s="41">
        <f>L96</f>
        <v>14.99</v>
      </c>
      <c r="M84" s="41">
        <f>ROUND(K84*L84,2)</f>
        <v>748.15</v>
      </c>
    </row>
    <row r="85" spans="1:13" ht="85.5" customHeight="1" thickBot="1" x14ac:dyDescent="0.25">
      <c r="A85" s="22"/>
      <c r="B85" s="22"/>
      <c r="C85" s="22"/>
      <c r="D85" s="63" t="s">
        <v>233</v>
      </c>
      <c r="E85" s="63"/>
      <c r="F85" s="63"/>
      <c r="G85" s="63"/>
      <c r="H85" s="63"/>
      <c r="I85" s="63"/>
      <c r="J85" s="63"/>
      <c r="K85" s="63"/>
      <c r="L85" s="63"/>
      <c r="M85" s="63"/>
    </row>
    <row r="86" spans="1:13" ht="15" customHeight="1" thickBot="1" x14ac:dyDescent="0.25">
      <c r="A86" s="22"/>
      <c r="B86" s="22"/>
      <c r="C86" s="22"/>
      <c r="D86" s="22"/>
      <c r="E86" s="23"/>
      <c r="F86" s="25" t="s">
        <v>234</v>
      </c>
      <c r="G86" s="25" t="s">
        <v>235</v>
      </c>
      <c r="H86" s="25" t="s">
        <v>236</v>
      </c>
      <c r="I86" s="25" t="s">
        <v>237</v>
      </c>
      <c r="J86" s="25" t="s">
        <v>238</v>
      </c>
      <c r="K86" s="25" t="s">
        <v>239</v>
      </c>
      <c r="L86" s="22"/>
      <c r="M86" s="22"/>
    </row>
    <row r="87" spans="1:13" ht="21.2" customHeight="1" thickBot="1" x14ac:dyDescent="0.25">
      <c r="A87" s="22"/>
      <c r="B87" s="22"/>
      <c r="C87" s="22"/>
      <c r="D87" s="26"/>
      <c r="E87" s="27" t="s">
        <v>240</v>
      </c>
      <c r="F87" s="28">
        <v>1.1499999999999999</v>
      </c>
      <c r="G87" s="29">
        <v>39</v>
      </c>
      <c r="H87" s="29">
        <v>0.8</v>
      </c>
      <c r="I87" s="29">
        <v>0.35</v>
      </c>
      <c r="J87" s="31">
        <f>ROUND(F87*G87*H87*I87,3)</f>
        <v>12.558</v>
      </c>
      <c r="K87" s="42"/>
      <c r="L87" s="22"/>
      <c r="M87" s="22"/>
    </row>
    <row r="88" spans="1:13" ht="15" customHeight="1" thickBot="1" x14ac:dyDescent="0.25">
      <c r="A88" s="22"/>
      <c r="B88" s="22"/>
      <c r="C88" s="22"/>
      <c r="D88" s="26"/>
      <c r="E88" s="5" t="s">
        <v>241</v>
      </c>
      <c r="F88" s="3">
        <v>1.1499999999999999</v>
      </c>
      <c r="G88" s="21">
        <v>232</v>
      </c>
      <c r="H88" s="21">
        <v>0.4</v>
      </c>
      <c r="I88" s="21">
        <v>0.35</v>
      </c>
      <c r="J88" s="30">
        <f>ROUND(F88*G88*H88*I88,3)</f>
        <v>37.351999999999997</v>
      </c>
      <c r="K88" s="32">
        <f>SUM(J87:J88)</f>
        <v>49.91</v>
      </c>
      <c r="L88" s="22"/>
      <c r="M88" s="22"/>
    </row>
    <row r="89" spans="1:13" ht="15" customHeight="1" thickBot="1" x14ac:dyDescent="0.25">
      <c r="A89" s="5" t="s">
        <v>242</v>
      </c>
      <c r="B89" s="5" t="s">
        <v>243</v>
      </c>
      <c r="C89" s="5" t="s">
        <v>244</v>
      </c>
      <c r="D89" s="63" t="s">
        <v>245</v>
      </c>
      <c r="E89" s="63"/>
      <c r="F89" s="63"/>
      <c r="G89" s="63"/>
      <c r="H89" s="63"/>
      <c r="I89" s="63"/>
      <c r="J89" s="63"/>
      <c r="K89" s="20">
        <v>1.1000000000000001</v>
      </c>
      <c r="L89" s="21">
        <f>ROUND(0.16,2)</f>
        <v>0.16</v>
      </c>
      <c r="M89" s="21">
        <f t="shared" ref="M89:M94" si="1">ROUND(K89*L89,2)</f>
        <v>0.18</v>
      </c>
    </row>
    <row r="90" spans="1:13" ht="15" customHeight="1" thickBot="1" x14ac:dyDescent="0.25">
      <c r="A90" s="5" t="s">
        <v>246</v>
      </c>
      <c r="B90" s="5" t="s">
        <v>247</v>
      </c>
      <c r="C90" s="5" t="s">
        <v>248</v>
      </c>
      <c r="D90" s="63" t="s">
        <v>249</v>
      </c>
      <c r="E90" s="63"/>
      <c r="F90" s="63"/>
      <c r="G90" s="63"/>
      <c r="H90" s="63"/>
      <c r="I90" s="63"/>
      <c r="J90" s="63"/>
      <c r="K90" s="20">
        <v>0.108</v>
      </c>
      <c r="L90" s="21">
        <f>ROUND(10.78,2)</f>
        <v>10.78</v>
      </c>
      <c r="M90" s="21">
        <f t="shared" si="1"/>
        <v>1.1599999999999999</v>
      </c>
    </row>
    <row r="91" spans="1:13" ht="15" customHeight="1" thickBot="1" x14ac:dyDescent="0.25">
      <c r="A91" s="5" t="s">
        <v>250</v>
      </c>
      <c r="B91" s="5" t="s">
        <v>251</v>
      </c>
      <c r="C91" s="5" t="s">
        <v>252</v>
      </c>
      <c r="D91" s="63" t="s">
        <v>253</v>
      </c>
      <c r="E91" s="63"/>
      <c r="F91" s="63"/>
      <c r="G91" s="63"/>
      <c r="H91" s="63"/>
      <c r="I91" s="63"/>
      <c r="J91" s="63"/>
      <c r="K91" s="20">
        <v>0.80200000000000005</v>
      </c>
      <c r="L91" s="21">
        <f>ROUND(4.06,2)</f>
        <v>4.0599999999999996</v>
      </c>
      <c r="M91" s="21">
        <f t="shared" si="1"/>
        <v>3.26</v>
      </c>
    </row>
    <row r="92" spans="1:13" ht="15" customHeight="1" thickBot="1" x14ac:dyDescent="0.25">
      <c r="A92" s="5" t="s">
        <v>254</v>
      </c>
      <c r="B92" s="5" t="s">
        <v>255</v>
      </c>
      <c r="C92" s="5" t="s">
        <v>256</v>
      </c>
      <c r="D92" s="63" t="s">
        <v>257</v>
      </c>
      <c r="E92" s="63"/>
      <c r="F92" s="63"/>
      <c r="G92" s="63"/>
      <c r="H92" s="63"/>
      <c r="I92" s="63"/>
      <c r="J92" s="63"/>
      <c r="K92" s="20">
        <v>1.0999999999999999E-2</v>
      </c>
      <c r="L92" s="21">
        <f>ROUND(46.51,2)</f>
        <v>46.51</v>
      </c>
      <c r="M92" s="21">
        <f t="shared" si="1"/>
        <v>0.51</v>
      </c>
    </row>
    <row r="93" spans="1:13" ht="15" customHeight="1" thickBot="1" x14ac:dyDescent="0.25">
      <c r="A93" s="5" t="s">
        <v>258</v>
      </c>
      <c r="B93" s="5" t="s">
        <v>259</v>
      </c>
      <c r="C93" s="5" t="s">
        <v>260</v>
      </c>
      <c r="D93" s="63" t="s">
        <v>261</v>
      </c>
      <c r="E93" s="63"/>
      <c r="F93" s="63"/>
      <c r="G93" s="63"/>
      <c r="H93" s="63"/>
      <c r="I93" s="63"/>
      <c r="J93" s="63"/>
      <c r="K93" s="20">
        <v>1.6E-2</v>
      </c>
      <c r="L93" s="21">
        <f>ROUND(46.75,2)</f>
        <v>46.75</v>
      </c>
      <c r="M93" s="21">
        <f t="shared" si="1"/>
        <v>0.75</v>
      </c>
    </row>
    <row r="94" spans="1:13" ht="15" customHeight="1" thickBot="1" x14ac:dyDescent="0.25">
      <c r="A94" s="5" t="s">
        <v>262</v>
      </c>
      <c r="B94" s="5" t="s">
        <v>263</v>
      </c>
      <c r="C94" s="5" t="s">
        <v>264</v>
      </c>
      <c r="D94" s="63" t="s">
        <v>265</v>
      </c>
      <c r="E94" s="63"/>
      <c r="F94" s="63"/>
      <c r="G94" s="63"/>
      <c r="H94" s="63"/>
      <c r="I94" s="63"/>
      <c r="J94" s="63"/>
      <c r="K94" s="20">
        <v>0.34699999999999998</v>
      </c>
      <c r="L94" s="21">
        <f>ROUND(23.46,2)</f>
        <v>23.46</v>
      </c>
      <c r="M94" s="21">
        <f t="shared" si="1"/>
        <v>8.14</v>
      </c>
    </row>
    <row r="95" spans="1:13" ht="15" customHeight="1" thickBot="1" x14ac:dyDescent="0.25">
      <c r="A95" s="5" t="s">
        <v>266</v>
      </c>
      <c r="B95" s="5"/>
      <c r="C95" s="5" t="s">
        <v>267</v>
      </c>
      <c r="D95" s="63" t="s">
        <v>268</v>
      </c>
      <c r="E95" s="63"/>
      <c r="F95" s="63"/>
      <c r="G95" s="63"/>
      <c r="H95" s="63"/>
      <c r="I95" s="63"/>
      <c r="J95" s="63"/>
      <c r="K95" s="20">
        <v>2</v>
      </c>
      <c r="L95" s="21">
        <f>ROUND(14,2)</f>
        <v>14</v>
      </c>
      <c r="M95" s="21">
        <f>ROUND((K95*L95)/100,2)</f>
        <v>0.28000000000000003</v>
      </c>
    </row>
    <row r="96" spans="1:13" ht="15.4" customHeight="1" thickBot="1" x14ac:dyDescent="0.25">
      <c r="A96" s="34"/>
      <c r="B96" s="34"/>
      <c r="C96" s="34"/>
      <c r="D96" s="35" t="s">
        <v>269</v>
      </c>
      <c r="E96" s="34"/>
      <c r="F96" s="34"/>
      <c r="G96" s="34"/>
      <c r="H96" s="34"/>
      <c r="I96" s="34"/>
      <c r="J96" s="34"/>
      <c r="K96" s="36">
        <v>49.91</v>
      </c>
      <c r="L96" s="37">
        <f>ROUND((M89+M90+M91+M92+M93+M94+M95)*(1+M2/100),2)</f>
        <v>14.99</v>
      </c>
      <c r="M96" s="37">
        <f>ROUND(K96*L96,2)</f>
        <v>748.15</v>
      </c>
    </row>
    <row r="97" spans="1:13" ht="39.6" customHeight="1" thickBot="1" x14ac:dyDescent="0.25">
      <c r="A97" s="38" t="s">
        <v>270</v>
      </c>
      <c r="B97" s="39" t="s">
        <v>271</v>
      </c>
      <c r="C97" s="39" t="s">
        <v>272</v>
      </c>
      <c r="D97" s="64" t="s">
        <v>273</v>
      </c>
      <c r="E97" s="64"/>
      <c r="F97" s="64"/>
      <c r="G97" s="64"/>
      <c r="H97" s="64"/>
      <c r="I97" s="64"/>
      <c r="J97" s="64"/>
      <c r="K97" s="40">
        <f>SUM(K100:K102)</f>
        <v>141.49600000000001</v>
      </c>
      <c r="L97" s="41">
        <f>L113</f>
        <v>63</v>
      </c>
      <c r="M97" s="41">
        <f>ROUND(K97*L97,2)</f>
        <v>8914.25</v>
      </c>
    </row>
    <row r="98" spans="1:13" ht="140.65" customHeight="1" thickBot="1" x14ac:dyDescent="0.25">
      <c r="A98" s="22"/>
      <c r="B98" s="22"/>
      <c r="C98" s="22"/>
      <c r="D98" s="63" t="s">
        <v>274</v>
      </c>
      <c r="E98" s="63"/>
      <c r="F98" s="63"/>
      <c r="G98" s="63"/>
      <c r="H98" s="63"/>
      <c r="I98" s="63"/>
      <c r="J98" s="63"/>
      <c r="K98" s="63"/>
      <c r="L98" s="63"/>
      <c r="M98" s="63"/>
    </row>
    <row r="99" spans="1:13" ht="15" customHeight="1" thickBot="1" x14ac:dyDescent="0.25">
      <c r="A99" s="22"/>
      <c r="B99" s="22"/>
      <c r="C99" s="22"/>
      <c r="D99" s="22"/>
      <c r="E99" s="23"/>
      <c r="F99" s="25" t="s">
        <v>275</v>
      </c>
      <c r="G99" s="25" t="s">
        <v>276</v>
      </c>
      <c r="H99" s="25" t="s">
        <v>277</v>
      </c>
      <c r="I99" s="25" t="s">
        <v>278</v>
      </c>
      <c r="J99" s="25" t="s">
        <v>279</v>
      </c>
      <c r="K99" s="25" t="s">
        <v>280</v>
      </c>
      <c r="L99" s="22"/>
      <c r="M99" s="22"/>
    </row>
    <row r="100" spans="1:13" ht="15" customHeight="1" thickBot="1" x14ac:dyDescent="0.25">
      <c r="A100" s="22"/>
      <c r="B100" s="22"/>
      <c r="C100" s="22"/>
      <c r="D100" s="26"/>
      <c r="E100" s="27" t="s">
        <v>281</v>
      </c>
      <c r="F100" s="28"/>
      <c r="G100" s="29">
        <v>232</v>
      </c>
      <c r="H100" s="29">
        <v>0.5</v>
      </c>
      <c r="I100" s="29">
        <v>1.1499999999999999</v>
      </c>
      <c r="J100" s="31">
        <f>ROUND(G100*H100*I100,3)</f>
        <v>133.4</v>
      </c>
      <c r="K100" s="42"/>
      <c r="L100" s="22"/>
      <c r="M100" s="22"/>
    </row>
    <row r="101" spans="1:13" ht="21.2" customHeight="1" thickBot="1" x14ac:dyDescent="0.25">
      <c r="A101" s="22"/>
      <c r="B101" s="22"/>
      <c r="C101" s="22"/>
      <c r="D101" s="26"/>
      <c r="E101" s="5" t="s">
        <v>282</v>
      </c>
      <c r="F101" s="3">
        <v>11</v>
      </c>
      <c r="G101" s="21">
        <v>0.8</v>
      </c>
      <c r="H101" s="21">
        <v>0.8</v>
      </c>
      <c r="I101" s="21">
        <v>1.1499999999999999</v>
      </c>
      <c r="J101" s="30">
        <f>ROUND(F101*G101*H101*I101,3)</f>
        <v>8.0960000000000001</v>
      </c>
      <c r="K101" s="22"/>
      <c r="L101" s="22"/>
      <c r="M101" s="22"/>
    </row>
    <row r="102" spans="1:13" ht="15" customHeight="1" thickBot="1" x14ac:dyDescent="0.25">
      <c r="A102" s="22"/>
      <c r="B102" s="22"/>
      <c r="C102" s="22"/>
      <c r="D102" s="26"/>
      <c r="E102" s="5"/>
      <c r="F102" s="3"/>
      <c r="G102" s="21"/>
      <c r="H102" s="21"/>
      <c r="I102" s="21"/>
      <c r="J102" s="24" t="s">
        <v>283</v>
      </c>
      <c r="K102" s="32">
        <f>SUM(J100:J102)</f>
        <v>141.49600000000001</v>
      </c>
      <c r="L102" s="22"/>
      <c r="M102" s="22"/>
    </row>
    <row r="103" spans="1:13" ht="15" customHeight="1" thickBot="1" x14ac:dyDescent="0.25">
      <c r="A103" s="5" t="s">
        <v>284</v>
      </c>
      <c r="B103" s="5" t="s">
        <v>285</v>
      </c>
      <c r="C103" s="5" t="s">
        <v>286</v>
      </c>
      <c r="D103" s="63" t="s">
        <v>287</v>
      </c>
      <c r="E103" s="63"/>
      <c r="F103" s="63"/>
      <c r="G103" s="63"/>
      <c r="H103" s="63"/>
      <c r="I103" s="63"/>
      <c r="J103" s="63"/>
      <c r="K103" s="20">
        <v>0.315</v>
      </c>
      <c r="L103" s="21">
        <f>ROUND(70.87,2)</f>
        <v>70.87</v>
      </c>
      <c r="M103" s="21">
        <f t="shared" ref="M103:M111" si="2">ROUND(K103*L103,2)</f>
        <v>22.32</v>
      </c>
    </row>
    <row r="104" spans="1:13" ht="21.2" customHeight="1" thickBot="1" x14ac:dyDescent="0.25">
      <c r="A104" s="5" t="s">
        <v>288</v>
      </c>
      <c r="B104" s="5" t="s">
        <v>289</v>
      </c>
      <c r="C104" s="5" t="s">
        <v>290</v>
      </c>
      <c r="D104" s="63" t="s">
        <v>291</v>
      </c>
      <c r="E104" s="63"/>
      <c r="F104" s="63"/>
      <c r="G104" s="63"/>
      <c r="H104" s="63"/>
      <c r="I104" s="63"/>
      <c r="J104" s="63"/>
      <c r="K104" s="20">
        <v>3.2000000000000001E-2</v>
      </c>
      <c r="L104" s="21">
        <f>ROUND(71.16,2)</f>
        <v>71.16</v>
      </c>
      <c r="M104" s="21">
        <f t="shared" si="2"/>
        <v>2.2799999999999998</v>
      </c>
    </row>
    <row r="105" spans="1:13" ht="15" customHeight="1" thickBot="1" x14ac:dyDescent="0.25">
      <c r="A105" s="5" t="s">
        <v>292</v>
      </c>
      <c r="B105" s="5" t="s">
        <v>293</v>
      </c>
      <c r="C105" s="5" t="s">
        <v>294</v>
      </c>
      <c r="D105" s="63" t="s">
        <v>295</v>
      </c>
      <c r="E105" s="63"/>
      <c r="F105" s="63"/>
      <c r="G105" s="63"/>
      <c r="H105" s="63"/>
      <c r="I105" s="63"/>
      <c r="J105" s="63"/>
      <c r="K105" s="20">
        <v>1</v>
      </c>
      <c r="L105" s="21">
        <f>ROUND(0.12,2)</f>
        <v>0.12</v>
      </c>
      <c r="M105" s="21">
        <f t="shared" si="2"/>
        <v>0.12</v>
      </c>
    </row>
    <row r="106" spans="1:13" ht="21.2" customHeight="1" thickBot="1" x14ac:dyDescent="0.25">
      <c r="A106" s="5" t="s">
        <v>296</v>
      </c>
      <c r="B106" s="5" t="s">
        <v>297</v>
      </c>
      <c r="C106" s="5" t="s">
        <v>298</v>
      </c>
      <c r="D106" s="63" t="s">
        <v>299</v>
      </c>
      <c r="E106" s="63"/>
      <c r="F106" s="63"/>
      <c r="G106" s="63"/>
      <c r="H106" s="63"/>
      <c r="I106" s="63"/>
      <c r="J106" s="63"/>
      <c r="K106" s="20">
        <v>1.05</v>
      </c>
      <c r="L106" s="21">
        <f>ROUND(6.52,2)</f>
        <v>6.52</v>
      </c>
      <c r="M106" s="21">
        <f t="shared" si="2"/>
        <v>6.85</v>
      </c>
    </row>
    <row r="107" spans="1:13" ht="15" customHeight="1" thickBot="1" x14ac:dyDescent="0.25">
      <c r="A107" s="5" t="s">
        <v>300</v>
      </c>
      <c r="B107" s="5" t="s">
        <v>301</v>
      </c>
      <c r="C107" s="5" t="s">
        <v>302</v>
      </c>
      <c r="D107" s="63" t="s">
        <v>303</v>
      </c>
      <c r="E107" s="63"/>
      <c r="F107" s="63"/>
      <c r="G107" s="63"/>
      <c r="H107" s="63"/>
      <c r="I107" s="63"/>
      <c r="J107" s="63"/>
      <c r="K107" s="20">
        <v>1E-3</v>
      </c>
      <c r="L107" s="21">
        <f>ROUND(142.34,2)</f>
        <v>142.34</v>
      </c>
      <c r="M107" s="21">
        <f t="shared" si="2"/>
        <v>0.14000000000000001</v>
      </c>
    </row>
    <row r="108" spans="1:13" ht="15" customHeight="1" thickBot="1" x14ac:dyDescent="0.25">
      <c r="A108" s="5" t="s">
        <v>304</v>
      </c>
      <c r="B108" s="5" t="s">
        <v>305</v>
      </c>
      <c r="C108" s="5" t="s">
        <v>306</v>
      </c>
      <c r="D108" s="63" t="s">
        <v>307</v>
      </c>
      <c r="E108" s="63"/>
      <c r="F108" s="63"/>
      <c r="G108" s="63"/>
      <c r="H108" s="63"/>
      <c r="I108" s="63"/>
      <c r="J108" s="63"/>
      <c r="K108" s="20">
        <v>5.1999999999999998E-2</v>
      </c>
      <c r="L108" s="21">
        <f>ROUND(10.78,2)</f>
        <v>10.78</v>
      </c>
      <c r="M108" s="21">
        <f t="shared" si="2"/>
        <v>0.56000000000000005</v>
      </c>
    </row>
    <row r="109" spans="1:13" ht="15" customHeight="1" thickBot="1" x14ac:dyDescent="0.25">
      <c r="A109" s="5" t="s">
        <v>308</v>
      </c>
      <c r="B109" s="5" t="s">
        <v>309</v>
      </c>
      <c r="C109" s="5" t="s">
        <v>310</v>
      </c>
      <c r="D109" s="63" t="s">
        <v>311</v>
      </c>
      <c r="E109" s="63"/>
      <c r="F109" s="63"/>
      <c r="G109" s="63"/>
      <c r="H109" s="63"/>
      <c r="I109" s="63"/>
      <c r="J109" s="63"/>
      <c r="K109" s="20">
        <v>0.14099999999999999</v>
      </c>
      <c r="L109" s="21">
        <f>ROUND(5.42,2)</f>
        <v>5.42</v>
      </c>
      <c r="M109" s="21">
        <f t="shared" si="2"/>
        <v>0.76</v>
      </c>
    </row>
    <row r="110" spans="1:13" ht="15" customHeight="1" thickBot="1" x14ac:dyDescent="0.25">
      <c r="A110" s="5" t="s">
        <v>312</v>
      </c>
      <c r="B110" s="5" t="s">
        <v>313</v>
      </c>
      <c r="C110" s="5" t="s">
        <v>314</v>
      </c>
      <c r="D110" s="63" t="s">
        <v>315</v>
      </c>
      <c r="E110" s="63"/>
      <c r="F110" s="63"/>
      <c r="G110" s="63"/>
      <c r="H110" s="63"/>
      <c r="I110" s="63"/>
      <c r="J110" s="63"/>
      <c r="K110" s="20">
        <v>0.436</v>
      </c>
      <c r="L110" s="21">
        <f>ROUND(28.06,2)</f>
        <v>28.06</v>
      </c>
      <c r="M110" s="21">
        <f t="shared" si="2"/>
        <v>12.23</v>
      </c>
    </row>
    <row r="111" spans="1:13" ht="15" customHeight="1" thickBot="1" x14ac:dyDescent="0.25">
      <c r="A111" s="5" t="s">
        <v>316</v>
      </c>
      <c r="B111" s="5" t="s">
        <v>317</v>
      </c>
      <c r="C111" s="5" t="s">
        <v>318</v>
      </c>
      <c r="D111" s="63" t="s">
        <v>319</v>
      </c>
      <c r="E111" s="63"/>
      <c r="F111" s="63"/>
      <c r="G111" s="63"/>
      <c r="H111" s="63"/>
      <c r="I111" s="63"/>
      <c r="J111" s="63"/>
      <c r="K111" s="20">
        <v>0.54400000000000004</v>
      </c>
      <c r="L111" s="21">
        <f>ROUND(24.92,2)</f>
        <v>24.92</v>
      </c>
      <c r="M111" s="21">
        <f t="shared" si="2"/>
        <v>13.56</v>
      </c>
    </row>
    <row r="112" spans="1:13" ht="15" customHeight="1" thickBot="1" x14ac:dyDescent="0.25">
      <c r="A112" s="5" t="s">
        <v>320</v>
      </c>
      <c r="B112" s="5"/>
      <c r="C112" s="5" t="s">
        <v>321</v>
      </c>
      <c r="D112" s="63" t="s">
        <v>322</v>
      </c>
      <c r="E112" s="63"/>
      <c r="F112" s="63"/>
      <c r="G112" s="63"/>
      <c r="H112" s="63"/>
      <c r="I112" s="63"/>
      <c r="J112" s="63"/>
      <c r="K112" s="20">
        <v>2</v>
      </c>
      <c r="L112" s="21">
        <f>ROUND(58.82,2)</f>
        <v>58.82</v>
      </c>
      <c r="M112" s="21">
        <f>ROUND((K112*L112)/100,2)</f>
        <v>1.18</v>
      </c>
    </row>
    <row r="113" spans="1:13" ht="15.4" customHeight="1" thickBot="1" x14ac:dyDescent="0.25">
      <c r="A113" s="34"/>
      <c r="B113" s="34"/>
      <c r="C113" s="34"/>
      <c r="D113" s="35" t="s">
        <v>323</v>
      </c>
      <c r="E113" s="34"/>
      <c r="F113" s="34"/>
      <c r="G113" s="34"/>
      <c r="H113" s="34"/>
      <c r="I113" s="34"/>
      <c r="J113" s="34"/>
      <c r="K113" s="36">
        <v>141.49600000000001</v>
      </c>
      <c r="L113" s="37">
        <f>ROUND((M103+M104+M105+M106+M107+M108+M109+M110+M111+M112)*(1+M2/100),2)</f>
        <v>63</v>
      </c>
      <c r="M113" s="37">
        <f>ROUND(K113*L113,2)</f>
        <v>8914.25</v>
      </c>
    </row>
    <row r="114" spans="1:13" ht="21.2" customHeight="1" thickBot="1" x14ac:dyDescent="0.25">
      <c r="A114" s="38" t="s">
        <v>324</v>
      </c>
      <c r="B114" s="39" t="s">
        <v>325</v>
      </c>
      <c r="C114" s="39" t="s">
        <v>326</v>
      </c>
      <c r="D114" s="64" t="s">
        <v>327</v>
      </c>
      <c r="E114" s="64"/>
      <c r="F114" s="64"/>
      <c r="G114" s="64"/>
      <c r="H114" s="64"/>
      <c r="I114" s="64"/>
      <c r="J114" s="64"/>
      <c r="K114" s="40">
        <f>SUM(K117:K117)</f>
        <v>35.880000000000003</v>
      </c>
      <c r="L114" s="41">
        <f>L125</f>
        <v>8.7899999999999991</v>
      </c>
      <c r="M114" s="41">
        <f>ROUND(K114*L114,2)</f>
        <v>315.39</v>
      </c>
    </row>
    <row r="115" spans="1:13" ht="67.150000000000006" customHeight="1" thickBot="1" x14ac:dyDescent="0.25">
      <c r="A115" s="22"/>
      <c r="B115" s="22"/>
      <c r="C115" s="22"/>
      <c r="D115" s="63" t="s">
        <v>328</v>
      </c>
      <c r="E115" s="63"/>
      <c r="F115" s="63"/>
      <c r="G115" s="63"/>
      <c r="H115" s="63"/>
      <c r="I115" s="63"/>
      <c r="J115" s="63"/>
      <c r="K115" s="63"/>
      <c r="L115" s="63"/>
      <c r="M115" s="63"/>
    </row>
    <row r="116" spans="1:13" ht="15" customHeight="1" thickBot="1" x14ac:dyDescent="0.25">
      <c r="A116" s="22"/>
      <c r="B116" s="22"/>
      <c r="C116" s="22"/>
      <c r="D116" s="22"/>
      <c r="E116" s="23"/>
      <c r="F116" s="25" t="s">
        <v>329</v>
      </c>
      <c r="G116" s="25" t="s">
        <v>330</v>
      </c>
      <c r="H116" s="25" t="s">
        <v>331</v>
      </c>
      <c r="I116" s="25" t="s">
        <v>332</v>
      </c>
      <c r="J116" s="25" t="s">
        <v>333</v>
      </c>
      <c r="K116" s="25" t="s">
        <v>334</v>
      </c>
      <c r="L116" s="22"/>
      <c r="M116" s="22"/>
    </row>
    <row r="117" spans="1:13" ht="21.2" customHeight="1" thickBot="1" x14ac:dyDescent="0.25">
      <c r="A117" s="22"/>
      <c r="B117" s="22"/>
      <c r="C117" s="22"/>
      <c r="D117" s="26"/>
      <c r="E117" s="27" t="s">
        <v>335</v>
      </c>
      <c r="F117" s="28"/>
      <c r="G117" s="29">
        <v>39</v>
      </c>
      <c r="H117" s="29">
        <v>0.8</v>
      </c>
      <c r="I117" s="29">
        <v>1.1499999999999999</v>
      </c>
      <c r="J117" s="31">
        <f>ROUND(G117*H117*I117,3)</f>
        <v>35.880000000000003</v>
      </c>
      <c r="K117" s="33">
        <f>SUM(J117:J117)</f>
        <v>35.880000000000003</v>
      </c>
      <c r="L117" s="22"/>
      <c r="M117" s="22"/>
    </row>
    <row r="118" spans="1:13" ht="21.2" customHeight="1" thickBot="1" x14ac:dyDescent="0.25">
      <c r="A118" s="5" t="s">
        <v>336</v>
      </c>
      <c r="B118" s="5" t="s">
        <v>337</v>
      </c>
      <c r="C118" s="5" t="s">
        <v>338</v>
      </c>
      <c r="D118" s="63" t="s">
        <v>339</v>
      </c>
      <c r="E118" s="63"/>
      <c r="F118" s="63"/>
      <c r="G118" s="63"/>
      <c r="H118" s="63"/>
      <c r="I118" s="63"/>
      <c r="J118" s="63"/>
      <c r="K118" s="20">
        <v>0.115</v>
      </c>
      <c r="L118" s="21">
        <f>ROUND(66.31,2)</f>
        <v>66.31</v>
      </c>
      <c r="M118" s="21">
        <f t="shared" ref="M118:M123" si="3">ROUND(K118*L118,2)</f>
        <v>7.63</v>
      </c>
    </row>
    <row r="119" spans="1:13" ht="15" customHeight="1" thickBot="1" x14ac:dyDescent="0.25">
      <c r="A119" s="5" t="s">
        <v>340</v>
      </c>
      <c r="B119" s="5" t="s">
        <v>341</v>
      </c>
      <c r="C119" s="5" t="s">
        <v>342</v>
      </c>
      <c r="D119" s="63" t="s">
        <v>343</v>
      </c>
      <c r="E119" s="63"/>
      <c r="F119" s="63"/>
      <c r="G119" s="63"/>
      <c r="H119" s="63"/>
      <c r="I119" s="63"/>
      <c r="J119" s="63"/>
      <c r="K119" s="20">
        <v>1E-3</v>
      </c>
      <c r="L119" s="21">
        <f>ROUND(93.22,2)</f>
        <v>93.22</v>
      </c>
      <c r="M119" s="21">
        <f t="shared" si="3"/>
        <v>0.09</v>
      </c>
    </row>
    <row r="120" spans="1:13" ht="15" customHeight="1" thickBot="1" x14ac:dyDescent="0.25">
      <c r="A120" s="5" t="s">
        <v>344</v>
      </c>
      <c r="B120" s="5" t="s">
        <v>345</v>
      </c>
      <c r="C120" s="5" t="s">
        <v>346</v>
      </c>
      <c r="D120" s="63" t="s">
        <v>347</v>
      </c>
      <c r="E120" s="63"/>
      <c r="F120" s="63"/>
      <c r="G120" s="63"/>
      <c r="H120" s="63"/>
      <c r="I120" s="63"/>
      <c r="J120" s="63"/>
      <c r="K120" s="20">
        <v>1E-3</v>
      </c>
      <c r="L120" s="21">
        <f>ROUND(19.24,2)</f>
        <v>19.239999999999998</v>
      </c>
      <c r="M120" s="21">
        <f t="shared" si="3"/>
        <v>0.02</v>
      </c>
    </row>
    <row r="121" spans="1:13" ht="15" customHeight="1" thickBot="1" x14ac:dyDescent="0.25">
      <c r="A121" s="5" t="s">
        <v>348</v>
      </c>
      <c r="B121" s="5" t="s">
        <v>349</v>
      </c>
      <c r="C121" s="5" t="s">
        <v>350</v>
      </c>
      <c r="D121" s="63" t="s">
        <v>351</v>
      </c>
      <c r="E121" s="63"/>
      <c r="F121" s="63"/>
      <c r="G121" s="63"/>
      <c r="H121" s="63"/>
      <c r="I121" s="63"/>
      <c r="J121" s="63"/>
      <c r="K121" s="20">
        <v>1E-3</v>
      </c>
      <c r="L121" s="21">
        <f>ROUND(67.53,2)</f>
        <v>67.53</v>
      </c>
      <c r="M121" s="21">
        <f t="shared" si="3"/>
        <v>7.0000000000000007E-2</v>
      </c>
    </row>
    <row r="122" spans="1:13" ht="15" customHeight="1" thickBot="1" x14ac:dyDescent="0.25">
      <c r="A122" s="5" t="s">
        <v>352</v>
      </c>
      <c r="B122" s="5" t="s">
        <v>353</v>
      </c>
      <c r="C122" s="5" t="s">
        <v>354</v>
      </c>
      <c r="D122" s="63" t="s">
        <v>355</v>
      </c>
      <c r="E122" s="63"/>
      <c r="F122" s="63"/>
      <c r="G122" s="63"/>
      <c r="H122" s="63"/>
      <c r="I122" s="63"/>
      <c r="J122" s="63"/>
      <c r="K122" s="20">
        <v>3.0000000000000001E-3</v>
      </c>
      <c r="L122" s="21">
        <f>ROUND(28.06,2)</f>
        <v>28.06</v>
      </c>
      <c r="M122" s="21">
        <f t="shared" si="3"/>
        <v>0.08</v>
      </c>
    </row>
    <row r="123" spans="1:13" ht="15" customHeight="1" thickBot="1" x14ac:dyDescent="0.25">
      <c r="A123" s="5" t="s">
        <v>356</v>
      </c>
      <c r="B123" s="5" t="s">
        <v>357</v>
      </c>
      <c r="C123" s="5" t="s">
        <v>358</v>
      </c>
      <c r="D123" s="63" t="s">
        <v>359</v>
      </c>
      <c r="E123" s="63"/>
      <c r="F123" s="63"/>
      <c r="G123" s="63"/>
      <c r="H123" s="63"/>
      <c r="I123" s="63"/>
      <c r="J123" s="63"/>
      <c r="K123" s="20">
        <v>1.2999999999999999E-2</v>
      </c>
      <c r="L123" s="21">
        <f>ROUND(24.92,2)</f>
        <v>24.92</v>
      </c>
      <c r="M123" s="21">
        <f t="shared" si="3"/>
        <v>0.32</v>
      </c>
    </row>
    <row r="124" spans="1:13" ht="15" customHeight="1" thickBot="1" x14ac:dyDescent="0.25">
      <c r="A124" s="5" t="s">
        <v>360</v>
      </c>
      <c r="B124" s="5"/>
      <c r="C124" s="5" t="s">
        <v>361</v>
      </c>
      <c r="D124" s="63" t="s">
        <v>362</v>
      </c>
      <c r="E124" s="63"/>
      <c r="F124" s="63"/>
      <c r="G124" s="63"/>
      <c r="H124" s="63"/>
      <c r="I124" s="63"/>
      <c r="J124" s="63"/>
      <c r="K124" s="20">
        <v>2</v>
      </c>
      <c r="L124" s="21">
        <f>ROUND(8.21,2)</f>
        <v>8.2100000000000009</v>
      </c>
      <c r="M124" s="21">
        <f>ROUND((K124*L124)/100,2)</f>
        <v>0.16</v>
      </c>
    </row>
    <row r="125" spans="1:13" ht="15.4" customHeight="1" thickBot="1" x14ac:dyDescent="0.25">
      <c r="A125" s="34"/>
      <c r="B125" s="34"/>
      <c r="C125" s="34"/>
      <c r="D125" s="35" t="s">
        <v>363</v>
      </c>
      <c r="E125" s="34"/>
      <c r="F125" s="34"/>
      <c r="G125" s="34"/>
      <c r="H125" s="34"/>
      <c r="I125" s="34"/>
      <c r="J125" s="34"/>
      <c r="K125" s="36">
        <v>35.880000000000003</v>
      </c>
      <c r="L125" s="37">
        <f>ROUND((M118+M119+M120+M121+M122+M123+M124)*(1+M2/100),2)</f>
        <v>8.7899999999999991</v>
      </c>
      <c r="M125" s="37">
        <f>ROUND(K125*L125,2)</f>
        <v>315.39</v>
      </c>
    </row>
    <row r="126" spans="1:13" ht="39.6" customHeight="1" thickBot="1" x14ac:dyDescent="0.25">
      <c r="A126" s="38" t="s">
        <v>364</v>
      </c>
      <c r="B126" s="39" t="s">
        <v>365</v>
      </c>
      <c r="C126" s="39" t="s">
        <v>366</v>
      </c>
      <c r="D126" s="64" t="s">
        <v>367</v>
      </c>
      <c r="E126" s="64"/>
      <c r="F126" s="64"/>
      <c r="G126" s="64"/>
      <c r="H126" s="64"/>
      <c r="I126" s="64"/>
      <c r="J126" s="64"/>
      <c r="K126" s="40">
        <f>SUM(K129:K129)</f>
        <v>12</v>
      </c>
      <c r="L126" s="41">
        <f>L137</f>
        <v>101.87</v>
      </c>
      <c r="M126" s="41">
        <f>ROUND(K126*L126,2)</f>
        <v>1222.44</v>
      </c>
    </row>
    <row r="127" spans="1:13" ht="67.150000000000006" customHeight="1" thickBot="1" x14ac:dyDescent="0.25">
      <c r="A127" s="22"/>
      <c r="B127" s="22"/>
      <c r="C127" s="22"/>
      <c r="D127" s="63" t="s">
        <v>368</v>
      </c>
      <c r="E127" s="63"/>
      <c r="F127" s="63"/>
      <c r="G127" s="63"/>
      <c r="H127" s="63"/>
      <c r="I127" s="63"/>
      <c r="J127" s="63"/>
      <c r="K127" s="63"/>
      <c r="L127" s="63"/>
      <c r="M127" s="63"/>
    </row>
    <row r="128" spans="1:13" ht="15" customHeight="1" thickBot="1" x14ac:dyDescent="0.25">
      <c r="A128" s="22"/>
      <c r="B128" s="22"/>
      <c r="C128" s="22"/>
      <c r="D128" s="22"/>
      <c r="E128" s="23"/>
      <c r="F128" s="25" t="s">
        <v>369</v>
      </c>
      <c r="G128" s="25" t="s">
        <v>370</v>
      </c>
      <c r="H128" s="25" t="s">
        <v>371</v>
      </c>
      <c r="I128" s="25" t="s">
        <v>372</v>
      </c>
      <c r="J128" s="25" t="s">
        <v>373</v>
      </c>
      <c r="K128" s="25" t="s">
        <v>374</v>
      </c>
      <c r="L128" s="22"/>
      <c r="M128" s="22"/>
    </row>
    <row r="129" spans="1:13" ht="15" customHeight="1" thickBot="1" x14ac:dyDescent="0.25">
      <c r="A129" s="22"/>
      <c r="B129" s="22"/>
      <c r="C129" s="22"/>
      <c r="D129" s="26"/>
      <c r="E129" s="27" t="s">
        <v>375</v>
      </c>
      <c r="F129" s="28">
        <v>12</v>
      </c>
      <c r="G129" s="29"/>
      <c r="H129" s="29"/>
      <c r="I129" s="29"/>
      <c r="J129" s="31">
        <f>ROUND(F129,3)</f>
        <v>12</v>
      </c>
      <c r="K129" s="33">
        <f>SUM(J129:J129)</f>
        <v>12</v>
      </c>
      <c r="L129" s="22"/>
      <c r="M129" s="22"/>
    </row>
    <row r="130" spans="1:13" ht="21.2" customHeight="1" thickBot="1" x14ac:dyDescent="0.25">
      <c r="A130" s="5" t="s">
        <v>376</v>
      </c>
      <c r="B130" s="5" t="s">
        <v>377</v>
      </c>
      <c r="C130" s="5" t="s">
        <v>378</v>
      </c>
      <c r="D130" s="63" t="s">
        <v>379</v>
      </c>
      <c r="E130" s="63"/>
      <c r="F130" s="63"/>
      <c r="G130" s="63"/>
      <c r="H130" s="63"/>
      <c r="I130" s="63"/>
      <c r="J130" s="63"/>
      <c r="K130" s="20">
        <v>1</v>
      </c>
      <c r="L130" s="21">
        <f>ROUND(18.5,2)</f>
        <v>18.5</v>
      </c>
      <c r="M130" s="21">
        <f t="shared" ref="M130:M135" si="4">ROUND(K130*L130,2)</f>
        <v>18.5</v>
      </c>
    </row>
    <row r="131" spans="1:13" ht="21.2" customHeight="1" thickBot="1" x14ac:dyDescent="0.25">
      <c r="A131" s="5" t="s">
        <v>380</v>
      </c>
      <c r="B131" s="5" t="s">
        <v>381</v>
      </c>
      <c r="C131" s="5" t="s">
        <v>382</v>
      </c>
      <c r="D131" s="63" t="s">
        <v>383</v>
      </c>
      <c r="E131" s="63"/>
      <c r="F131" s="63"/>
      <c r="G131" s="63"/>
      <c r="H131" s="63"/>
      <c r="I131" s="63"/>
      <c r="J131" s="63"/>
      <c r="K131" s="20">
        <v>1</v>
      </c>
      <c r="L131" s="21">
        <f>ROUND(37.07,2)</f>
        <v>37.07</v>
      </c>
      <c r="M131" s="21">
        <f t="shared" si="4"/>
        <v>37.07</v>
      </c>
    </row>
    <row r="132" spans="1:13" ht="15" customHeight="1" thickBot="1" x14ac:dyDescent="0.25">
      <c r="A132" s="5" t="s">
        <v>384</v>
      </c>
      <c r="B132" s="5" t="s">
        <v>385</v>
      </c>
      <c r="C132" s="5" t="s">
        <v>386</v>
      </c>
      <c r="D132" s="63" t="s">
        <v>387</v>
      </c>
      <c r="E132" s="63"/>
      <c r="F132" s="63"/>
      <c r="G132" s="63"/>
      <c r="H132" s="63"/>
      <c r="I132" s="63"/>
      <c r="J132" s="63"/>
      <c r="K132" s="20">
        <v>0.51300000000000001</v>
      </c>
      <c r="L132" s="21">
        <f>ROUND(8.54,2)</f>
        <v>8.5399999999999991</v>
      </c>
      <c r="M132" s="21">
        <f t="shared" si="4"/>
        <v>4.38</v>
      </c>
    </row>
    <row r="133" spans="1:13" ht="15" customHeight="1" thickBot="1" x14ac:dyDescent="0.25">
      <c r="A133" s="5" t="s">
        <v>388</v>
      </c>
      <c r="B133" s="5" t="s">
        <v>389</v>
      </c>
      <c r="C133" s="5" t="s">
        <v>390</v>
      </c>
      <c r="D133" s="63" t="s">
        <v>391</v>
      </c>
      <c r="E133" s="63"/>
      <c r="F133" s="63"/>
      <c r="G133" s="63"/>
      <c r="H133" s="63"/>
      <c r="I133" s="63"/>
      <c r="J133" s="63"/>
      <c r="K133" s="20">
        <v>4.7E-2</v>
      </c>
      <c r="L133" s="21">
        <f>ROUND(42.67,2)</f>
        <v>42.67</v>
      </c>
      <c r="M133" s="21">
        <f t="shared" si="4"/>
        <v>2.0099999999999998</v>
      </c>
    </row>
    <row r="134" spans="1:13" ht="15" customHeight="1" thickBot="1" x14ac:dyDescent="0.25">
      <c r="A134" s="5" t="s">
        <v>392</v>
      </c>
      <c r="B134" s="5" t="s">
        <v>393</v>
      </c>
      <c r="C134" s="5" t="s">
        <v>394</v>
      </c>
      <c r="D134" s="63" t="s">
        <v>395</v>
      </c>
      <c r="E134" s="63"/>
      <c r="F134" s="63"/>
      <c r="G134" s="63"/>
      <c r="H134" s="63"/>
      <c r="I134" s="63"/>
      <c r="J134" s="63"/>
      <c r="K134" s="20">
        <v>0.60199999999999998</v>
      </c>
      <c r="L134" s="21">
        <f>ROUND(28.06,2)</f>
        <v>28.06</v>
      </c>
      <c r="M134" s="21">
        <f t="shared" si="4"/>
        <v>16.89</v>
      </c>
    </row>
    <row r="135" spans="1:13" ht="15" customHeight="1" thickBot="1" x14ac:dyDescent="0.25">
      <c r="A135" s="5" t="s">
        <v>396</v>
      </c>
      <c r="B135" s="5" t="s">
        <v>397</v>
      </c>
      <c r="C135" s="5" t="s">
        <v>398</v>
      </c>
      <c r="D135" s="63" t="s">
        <v>399</v>
      </c>
      <c r="E135" s="63"/>
      <c r="F135" s="63"/>
      <c r="G135" s="63"/>
      <c r="H135" s="63"/>
      <c r="I135" s="63"/>
      <c r="J135" s="63"/>
      <c r="K135" s="20">
        <v>0.65300000000000002</v>
      </c>
      <c r="L135" s="21">
        <f>ROUND(24.92,2)</f>
        <v>24.92</v>
      </c>
      <c r="M135" s="21">
        <f t="shared" si="4"/>
        <v>16.27</v>
      </c>
    </row>
    <row r="136" spans="1:13" ht="15" customHeight="1" thickBot="1" x14ac:dyDescent="0.25">
      <c r="A136" s="5" t="s">
        <v>400</v>
      </c>
      <c r="B136" s="5"/>
      <c r="C136" s="5" t="s">
        <v>401</v>
      </c>
      <c r="D136" s="63" t="s">
        <v>402</v>
      </c>
      <c r="E136" s="63"/>
      <c r="F136" s="63"/>
      <c r="G136" s="63"/>
      <c r="H136" s="63"/>
      <c r="I136" s="63"/>
      <c r="J136" s="63"/>
      <c r="K136" s="20">
        <v>2</v>
      </c>
      <c r="L136" s="21">
        <f>ROUND(95.12,2)</f>
        <v>95.12</v>
      </c>
      <c r="M136" s="21">
        <f>ROUND((K136*L136)/100,2)</f>
        <v>1.9</v>
      </c>
    </row>
    <row r="137" spans="1:13" ht="15.4" customHeight="1" thickBot="1" x14ac:dyDescent="0.25">
      <c r="A137" s="34"/>
      <c r="B137" s="34"/>
      <c r="C137" s="34"/>
      <c r="D137" s="35" t="s">
        <v>403</v>
      </c>
      <c r="E137" s="34"/>
      <c r="F137" s="34"/>
      <c r="G137" s="34"/>
      <c r="H137" s="34"/>
      <c r="I137" s="34"/>
      <c r="J137" s="34"/>
      <c r="K137" s="36">
        <v>12</v>
      </c>
      <c r="L137" s="37">
        <f>ROUND((M130+M131+M132+M133+M134+M135+M136)*(1+M2/100),2)</f>
        <v>101.87</v>
      </c>
      <c r="M137" s="37">
        <f>ROUND(K137*L137,2)</f>
        <v>1222.44</v>
      </c>
    </row>
    <row r="138" spans="1:13" ht="21.2" customHeight="1" thickBot="1" x14ac:dyDescent="0.25">
      <c r="A138" s="38" t="s">
        <v>404</v>
      </c>
      <c r="B138" s="39" t="s">
        <v>405</v>
      </c>
      <c r="C138" s="39" t="s">
        <v>406</v>
      </c>
      <c r="D138" s="64" t="s">
        <v>407</v>
      </c>
      <c r="E138" s="64"/>
      <c r="F138" s="64"/>
      <c r="G138" s="64"/>
      <c r="H138" s="64"/>
      <c r="I138" s="64"/>
      <c r="J138" s="64"/>
      <c r="K138" s="40">
        <f>ROUND(10,2)</f>
        <v>10</v>
      </c>
      <c r="L138" s="41">
        <f>L147</f>
        <v>33.89</v>
      </c>
      <c r="M138" s="41">
        <f>ROUND(K138*L138,2)</f>
        <v>338.9</v>
      </c>
    </row>
    <row r="139" spans="1:13" ht="94.7" customHeight="1" thickBot="1" x14ac:dyDescent="0.25">
      <c r="A139" s="22"/>
      <c r="B139" s="22"/>
      <c r="C139" s="22"/>
      <c r="D139" s="63" t="s">
        <v>408</v>
      </c>
      <c r="E139" s="63"/>
      <c r="F139" s="63"/>
      <c r="G139" s="63"/>
      <c r="H139" s="63"/>
      <c r="I139" s="63"/>
      <c r="J139" s="63"/>
      <c r="K139" s="63"/>
      <c r="L139" s="63"/>
      <c r="M139" s="63"/>
    </row>
    <row r="140" spans="1:13" ht="15" customHeight="1" thickBot="1" x14ac:dyDescent="0.25">
      <c r="A140" s="5" t="s">
        <v>409</v>
      </c>
      <c r="B140" s="5" t="s">
        <v>410</v>
      </c>
      <c r="C140" s="5" t="s">
        <v>411</v>
      </c>
      <c r="D140" s="63" t="s">
        <v>412</v>
      </c>
      <c r="E140" s="63"/>
      <c r="F140" s="63"/>
      <c r="G140" s="63"/>
      <c r="H140" s="63"/>
      <c r="I140" s="63"/>
      <c r="J140" s="63"/>
      <c r="K140" s="20">
        <v>8.2000000000000003E-2</v>
      </c>
      <c r="L140" s="21">
        <f>ROUND(70.87,2)</f>
        <v>70.87</v>
      </c>
      <c r="M140" s="21">
        <f t="shared" ref="M140:M145" si="5">ROUND(K140*L140,2)</f>
        <v>5.81</v>
      </c>
    </row>
    <row r="141" spans="1:13" ht="15" customHeight="1" thickBot="1" x14ac:dyDescent="0.25">
      <c r="A141" s="5" t="s">
        <v>413</v>
      </c>
      <c r="B141" s="5" t="s">
        <v>414</v>
      </c>
      <c r="C141" s="5" t="s">
        <v>415</v>
      </c>
      <c r="D141" s="63" t="s">
        <v>416</v>
      </c>
      <c r="E141" s="63"/>
      <c r="F141" s="63"/>
      <c r="G141" s="63"/>
      <c r="H141" s="63"/>
      <c r="I141" s="63"/>
      <c r="J141" s="63"/>
      <c r="K141" s="20">
        <v>6.0000000000000001E-3</v>
      </c>
      <c r="L141" s="21">
        <f>ROUND(1.76,2)</f>
        <v>1.76</v>
      </c>
      <c r="M141" s="21">
        <f t="shared" si="5"/>
        <v>0.01</v>
      </c>
    </row>
    <row r="142" spans="1:13" ht="21.2" customHeight="1" thickBot="1" x14ac:dyDescent="0.25">
      <c r="A142" s="5" t="s">
        <v>417</v>
      </c>
      <c r="B142" s="5" t="s">
        <v>418</v>
      </c>
      <c r="C142" s="5" t="s">
        <v>419</v>
      </c>
      <c r="D142" s="63" t="s">
        <v>420</v>
      </c>
      <c r="E142" s="63"/>
      <c r="F142" s="63"/>
      <c r="G142" s="63"/>
      <c r="H142" s="63"/>
      <c r="I142" s="63"/>
      <c r="J142" s="63"/>
      <c r="K142" s="20">
        <v>8.0000000000000002E-3</v>
      </c>
      <c r="L142" s="21">
        <f>ROUND(40.12,2)</f>
        <v>40.119999999999997</v>
      </c>
      <c r="M142" s="21">
        <f t="shared" si="5"/>
        <v>0.32</v>
      </c>
    </row>
    <row r="143" spans="1:13" ht="30.4" customHeight="1" thickBot="1" x14ac:dyDescent="0.25">
      <c r="A143" s="5" t="s">
        <v>421</v>
      </c>
      <c r="B143" s="5" t="s">
        <v>422</v>
      </c>
      <c r="C143" s="5" t="s">
        <v>423</v>
      </c>
      <c r="D143" s="63" t="s">
        <v>424</v>
      </c>
      <c r="E143" s="63"/>
      <c r="F143" s="63"/>
      <c r="G143" s="63"/>
      <c r="H143" s="63"/>
      <c r="I143" s="63"/>
      <c r="J143" s="63"/>
      <c r="K143" s="20">
        <v>2.1</v>
      </c>
      <c r="L143" s="21">
        <f>ROUND(3.02,2)</f>
        <v>3.02</v>
      </c>
      <c r="M143" s="21">
        <f t="shared" si="5"/>
        <v>6.34</v>
      </c>
    </row>
    <row r="144" spans="1:13" ht="15" customHeight="1" thickBot="1" x14ac:dyDescent="0.25">
      <c r="A144" s="5" t="s">
        <v>425</v>
      </c>
      <c r="B144" s="5" t="s">
        <v>426</v>
      </c>
      <c r="C144" s="5" t="s">
        <v>427</v>
      </c>
      <c r="D144" s="63" t="s">
        <v>428</v>
      </c>
      <c r="E144" s="63"/>
      <c r="F144" s="63"/>
      <c r="G144" s="63"/>
      <c r="H144" s="63"/>
      <c r="I144" s="63"/>
      <c r="J144" s="63"/>
      <c r="K144" s="20">
        <v>0.35</v>
      </c>
      <c r="L144" s="21">
        <f>ROUND(28.06,2)</f>
        <v>28.06</v>
      </c>
      <c r="M144" s="21">
        <f t="shared" si="5"/>
        <v>9.82</v>
      </c>
    </row>
    <row r="145" spans="1:13" ht="15" customHeight="1" thickBot="1" x14ac:dyDescent="0.25">
      <c r="A145" s="5" t="s">
        <v>429</v>
      </c>
      <c r="B145" s="5" t="s">
        <v>430</v>
      </c>
      <c r="C145" s="5" t="s">
        <v>431</v>
      </c>
      <c r="D145" s="63" t="s">
        <v>432</v>
      </c>
      <c r="E145" s="63"/>
      <c r="F145" s="63"/>
      <c r="G145" s="63"/>
      <c r="H145" s="63"/>
      <c r="I145" s="63"/>
      <c r="J145" s="63"/>
      <c r="K145" s="20">
        <v>0.375</v>
      </c>
      <c r="L145" s="21">
        <f>ROUND(24.92,2)</f>
        <v>24.92</v>
      </c>
      <c r="M145" s="21">
        <f t="shared" si="5"/>
        <v>9.35</v>
      </c>
    </row>
    <row r="146" spans="1:13" ht="15" customHeight="1" thickBot="1" x14ac:dyDescent="0.25">
      <c r="A146" s="5" t="s">
        <v>433</v>
      </c>
      <c r="B146" s="5"/>
      <c r="C146" s="5" t="s">
        <v>434</v>
      </c>
      <c r="D146" s="63" t="s">
        <v>435</v>
      </c>
      <c r="E146" s="63"/>
      <c r="F146" s="63"/>
      <c r="G146" s="63"/>
      <c r="H146" s="63"/>
      <c r="I146" s="63"/>
      <c r="J146" s="63"/>
      <c r="K146" s="20">
        <v>2</v>
      </c>
      <c r="L146" s="21">
        <f>ROUND(31.65,2)</f>
        <v>31.65</v>
      </c>
      <c r="M146" s="21">
        <f>ROUND((K146*L146)/100,2)</f>
        <v>0.63</v>
      </c>
    </row>
    <row r="147" spans="1:13" ht="15.4" customHeight="1" thickBot="1" x14ac:dyDescent="0.25">
      <c r="A147" s="34"/>
      <c r="B147" s="34"/>
      <c r="C147" s="34"/>
      <c r="D147" s="35" t="s">
        <v>436</v>
      </c>
      <c r="E147" s="34"/>
      <c r="F147" s="34"/>
      <c r="G147" s="34"/>
      <c r="H147" s="34"/>
      <c r="I147" s="34"/>
      <c r="J147" s="34"/>
      <c r="K147" s="36">
        <v>10</v>
      </c>
      <c r="L147" s="37">
        <f>ROUND((M140+M141+M142+M143+M144+M145+M146)*(1+M2/100),2)</f>
        <v>33.89</v>
      </c>
      <c r="M147" s="37">
        <f>ROUND(K147*L147,2)</f>
        <v>338.9</v>
      </c>
    </row>
    <row r="148" spans="1:13" ht="30.4" customHeight="1" thickBot="1" x14ac:dyDescent="0.25">
      <c r="A148" s="38" t="s">
        <v>437</v>
      </c>
      <c r="B148" s="39" t="s">
        <v>438</v>
      </c>
      <c r="C148" s="39" t="s">
        <v>439</v>
      </c>
      <c r="D148" s="64" t="s">
        <v>440</v>
      </c>
      <c r="E148" s="64"/>
      <c r="F148" s="64"/>
      <c r="G148" s="64"/>
      <c r="H148" s="64"/>
      <c r="I148" s="64"/>
      <c r="J148" s="64"/>
      <c r="K148" s="40">
        <f>SUM(K151:K152)</f>
        <v>107.64</v>
      </c>
      <c r="L148" s="41">
        <f>L156</f>
        <v>9.93</v>
      </c>
      <c r="M148" s="41">
        <f>ROUND(K148*L148,2)</f>
        <v>1068.8699999999999</v>
      </c>
    </row>
    <row r="149" spans="1:13" ht="21.2" customHeight="1" thickBot="1" x14ac:dyDescent="0.25">
      <c r="A149" s="22"/>
      <c r="B149" s="22"/>
      <c r="C149" s="22"/>
      <c r="D149" s="63" t="s">
        <v>441</v>
      </c>
      <c r="E149" s="63"/>
      <c r="F149" s="63"/>
      <c r="G149" s="63"/>
      <c r="H149" s="63"/>
      <c r="I149" s="63"/>
      <c r="J149" s="63"/>
      <c r="K149" s="63"/>
      <c r="L149" s="63"/>
      <c r="M149" s="63"/>
    </row>
    <row r="150" spans="1:13" ht="15" customHeight="1" thickBot="1" x14ac:dyDescent="0.25">
      <c r="A150" s="22"/>
      <c r="B150" s="22"/>
      <c r="C150" s="22"/>
      <c r="D150" s="22"/>
      <c r="E150" s="23"/>
      <c r="F150" s="25" t="s">
        <v>442</v>
      </c>
      <c r="G150" s="25" t="s">
        <v>443</v>
      </c>
      <c r="H150" s="25" t="s">
        <v>444</v>
      </c>
      <c r="I150" s="25" t="s">
        <v>445</v>
      </c>
      <c r="J150" s="25" t="s">
        <v>446</v>
      </c>
      <c r="K150" s="25" t="s">
        <v>447</v>
      </c>
      <c r="L150" s="22"/>
      <c r="M150" s="22"/>
    </row>
    <row r="151" spans="1:13" ht="21.2" customHeight="1" thickBot="1" x14ac:dyDescent="0.25">
      <c r="A151" s="22"/>
      <c r="B151" s="22"/>
      <c r="C151" s="22"/>
      <c r="D151" s="26"/>
      <c r="E151" s="27" t="s">
        <v>448</v>
      </c>
      <c r="F151" s="28">
        <v>4.5999999999999996</v>
      </c>
      <c r="G151" s="29">
        <v>39</v>
      </c>
      <c r="H151" s="29">
        <v>0.5</v>
      </c>
      <c r="I151" s="29">
        <v>1.2</v>
      </c>
      <c r="J151" s="31">
        <f>ROUND(F151*G151*H151*I151,3)</f>
        <v>107.64</v>
      </c>
      <c r="K151" s="42"/>
      <c r="L151" s="22"/>
      <c r="M151" s="22"/>
    </row>
    <row r="152" spans="1:13" ht="15" customHeight="1" thickBot="1" x14ac:dyDescent="0.25">
      <c r="A152" s="22"/>
      <c r="B152" s="22"/>
      <c r="C152" s="22"/>
      <c r="D152" s="26"/>
      <c r="E152" s="5"/>
      <c r="F152" s="3"/>
      <c r="G152" s="21"/>
      <c r="H152" s="21"/>
      <c r="I152" s="21"/>
      <c r="J152" s="24" t="s">
        <v>449</v>
      </c>
      <c r="K152" s="32">
        <f>SUM(J151:J152)</f>
        <v>107.64</v>
      </c>
      <c r="L152" s="22"/>
      <c r="M152" s="22"/>
    </row>
    <row r="153" spans="1:13" ht="21.2" customHeight="1" thickBot="1" x14ac:dyDescent="0.25">
      <c r="A153" s="5" t="s">
        <v>450</v>
      </c>
      <c r="B153" s="5" t="s">
        <v>451</v>
      </c>
      <c r="C153" s="5" t="s">
        <v>452</v>
      </c>
      <c r="D153" s="63" t="s">
        <v>453</v>
      </c>
      <c r="E153" s="63"/>
      <c r="F153" s="63"/>
      <c r="G153" s="63"/>
      <c r="H153" s="63"/>
      <c r="I153" s="63"/>
      <c r="J153" s="63"/>
      <c r="K153" s="20">
        <v>1.02</v>
      </c>
      <c r="L153" s="21">
        <f>ROUND(6.41,2)</f>
        <v>6.41</v>
      </c>
      <c r="M153" s="21">
        <f>ROUND(K153*L153,2)</f>
        <v>6.54</v>
      </c>
    </row>
    <row r="154" spans="1:13" ht="15" customHeight="1" thickBot="1" x14ac:dyDescent="0.25">
      <c r="A154" s="5" t="s">
        <v>454</v>
      </c>
      <c r="B154" s="5" t="s">
        <v>455</v>
      </c>
      <c r="C154" s="5" t="s">
        <v>456</v>
      </c>
      <c r="D154" s="63" t="s">
        <v>457</v>
      </c>
      <c r="E154" s="63"/>
      <c r="F154" s="63"/>
      <c r="G154" s="63"/>
      <c r="H154" s="63"/>
      <c r="I154" s="63"/>
      <c r="J154" s="63"/>
      <c r="K154" s="20">
        <v>5.8000000000000003E-2</v>
      </c>
      <c r="L154" s="21">
        <f>ROUND(28.99,2)</f>
        <v>28.99</v>
      </c>
      <c r="M154" s="21">
        <f>ROUND(K154*L154,2)</f>
        <v>1.68</v>
      </c>
    </row>
    <row r="155" spans="1:13" ht="15" customHeight="1" thickBot="1" x14ac:dyDescent="0.25">
      <c r="A155" s="5" t="s">
        <v>458</v>
      </c>
      <c r="B155" s="5" t="s">
        <v>459</v>
      </c>
      <c r="C155" s="5" t="s">
        <v>460</v>
      </c>
      <c r="D155" s="63" t="s">
        <v>461</v>
      </c>
      <c r="E155" s="63"/>
      <c r="F155" s="63"/>
      <c r="G155" s="63"/>
      <c r="H155" s="63"/>
      <c r="I155" s="63"/>
      <c r="J155" s="63"/>
      <c r="K155" s="20">
        <v>0.05</v>
      </c>
      <c r="L155" s="21">
        <f>ROUND(24.89,2)</f>
        <v>24.89</v>
      </c>
      <c r="M155" s="21">
        <f>ROUND(K155*L155,2)</f>
        <v>1.24</v>
      </c>
    </row>
    <row r="156" spans="1:13" ht="15.4" customHeight="1" thickBot="1" x14ac:dyDescent="0.25">
      <c r="A156" s="34"/>
      <c r="B156" s="34"/>
      <c r="C156" s="34"/>
      <c r="D156" s="35" t="s">
        <v>462</v>
      </c>
      <c r="E156" s="34"/>
      <c r="F156" s="34"/>
      <c r="G156" s="34"/>
      <c r="H156" s="34"/>
      <c r="I156" s="34"/>
      <c r="J156" s="34"/>
      <c r="K156" s="36">
        <v>107.64</v>
      </c>
      <c r="L156" s="37">
        <f>ROUND((M153+M154+M155)*(1+M2/100),2)</f>
        <v>9.93</v>
      </c>
      <c r="M156" s="37">
        <f>ROUND(K156*L156,2)</f>
        <v>1068.8699999999999</v>
      </c>
    </row>
    <row r="157" spans="1:13" ht="48.75" customHeight="1" thickBot="1" x14ac:dyDescent="0.25">
      <c r="A157" s="38" t="s">
        <v>463</v>
      </c>
      <c r="B157" s="39" t="s">
        <v>464</v>
      </c>
      <c r="C157" s="39" t="s">
        <v>465</v>
      </c>
      <c r="D157" s="64" t="s">
        <v>466</v>
      </c>
      <c r="E157" s="64"/>
      <c r="F157" s="64"/>
      <c r="G157" s="64"/>
      <c r="H157" s="64"/>
      <c r="I157" s="64"/>
      <c r="J157" s="64"/>
      <c r="K157" s="40">
        <f>SUM(K160:K161)</f>
        <v>280.60000000000002</v>
      </c>
      <c r="L157" s="41">
        <f>L173</f>
        <v>9.59</v>
      </c>
      <c r="M157" s="41">
        <f>ROUND(K157*L157,2)</f>
        <v>2690.95</v>
      </c>
    </row>
    <row r="158" spans="1:13" ht="85.5" customHeight="1" thickBot="1" x14ac:dyDescent="0.25">
      <c r="A158" s="22"/>
      <c r="B158" s="22"/>
      <c r="C158" s="22"/>
      <c r="D158" s="63" t="s">
        <v>467</v>
      </c>
      <c r="E158" s="63"/>
      <c r="F158" s="63"/>
      <c r="G158" s="63"/>
      <c r="H158" s="63"/>
      <c r="I158" s="63"/>
      <c r="J158" s="63"/>
      <c r="K158" s="63"/>
      <c r="L158" s="63"/>
      <c r="M158" s="63"/>
    </row>
    <row r="159" spans="1:13" ht="15" customHeight="1" thickBot="1" x14ac:dyDescent="0.25">
      <c r="A159" s="22"/>
      <c r="B159" s="22"/>
      <c r="C159" s="22"/>
      <c r="D159" s="22"/>
      <c r="E159" s="23"/>
      <c r="F159" s="25" t="s">
        <v>468</v>
      </c>
      <c r="G159" s="25" t="s">
        <v>469</v>
      </c>
      <c r="H159" s="25" t="s">
        <v>470</v>
      </c>
      <c r="I159" s="25" t="s">
        <v>471</v>
      </c>
      <c r="J159" s="25" t="s">
        <v>472</v>
      </c>
      <c r="K159" s="25" t="s">
        <v>473</v>
      </c>
      <c r="L159" s="22"/>
      <c r="M159" s="22"/>
    </row>
    <row r="160" spans="1:13" ht="15" customHeight="1" thickBot="1" x14ac:dyDescent="0.25">
      <c r="A160" s="22"/>
      <c r="B160" s="22"/>
      <c r="C160" s="22"/>
      <c r="D160" s="26"/>
      <c r="E160" s="27" t="s">
        <v>474</v>
      </c>
      <c r="F160" s="28">
        <v>232</v>
      </c>
      <c r="G160" s="29">
        <v>1</v>
      </c>
      <c r="H160" s="29"/>
      <c r="I160" s="29">
        <v>1.1499999999999999</v>
      </c>
      <c r="J160" s="31">
        <f>ROUND(F160*G160*I160,3)</f>
        <v>266.8</v>
      </c>
      <c r="K160" s="42"/>
      <c r="L160" s="22"/>
      <c r="M160" s="22"/>
    </row>
    <row r="161" spans="1:13" ht="15" customHeight="1" thickBot="1" x14ac:dyDescent="0.25">
      <c r="A161" s="22"/>
      <c r="B161" s="22"/>
      <c r="C161" s="22"/>
      <c r="D161" s="26"/>
      <c r="E161" s="5" t="s">
        <v>475</v>
      </c>
      <c r="F161" s="3">
        <v>12</v>
      </c>
      <c r="G161" s="21">
        <v>1</v>
      </c>
      <c r="H161" s="21"/>
      <c r="I161" s="21">
        <v>1.1499999999999999</v>
      </c>
      <c r="J161" s="30">
        <f>ROUND(F161*G161*I161,3)</f>
        <v>13.8</v>
      </c>
      <c r="K161" s="32">
        <f>SUM(J160:J161)</f>
        <v>280.60000000000002</v>
      </c>
      <c r="L161" s="22"/>
      <c r="M161" s="22"/>
    </row>
    <row r="162" spans="1:13" ht="15" customHeight="1" thickBot="1" x14ac:dyDescent="0.25">
      <c r="A162" s="5" t="s">
        <v>476</v>
      </c>
      <c r="B162" s="5" t="s">
        <v>477</v>
      </c>
      <c r="C162" s="5" t="s">
        <v>478</v>
      </c>
      <c r="D162" s="63" t="s">
        <v>479</v>
      </c>
      <c r="E162" s="63"/>
      <c r="F162" s="63"/>
      <c r="G162" s="63"/>
      <c r="H162" s="63"/>
      <c r="I162" s="63"/>
      <c r="J162" s="63"/>
      <c r="K162" s="20">
        <v>6.6000000000000003E-2</v>
      </c>
      <c r="L162" s="21">
        <f>ROUND(14.19,2)</f>
        <v>14.19</v>
      </c>
      <c r="M162" s="21">
        <f t="shared" ref="M162:M171" si="6">ROUND(K162*L162,2)</f>
        <v>0.94</v>
      </c>
    </row>
    <row r="163" spans="1:13" ht="39.6" customHeight="1" thickBot="1" x14ac:dyDescent="0.25">
      <c r="A163" s="5" t="s">
        <v>480</v>
      </c>
      <c r="B163" s="5" t="s">
        <v>481</v>
      </c>
      <c r="C163" s="5" t="s">
        <v>482</v>
      </c>
      <c r="D163" s="63" t="s">
        <v>483</v>
      </c>
      <c r="E163" s="63"/>
      <c r="F163" s="63"/>
      <c r="G163" s="63"/>
      <c r="H163" s="63"/>
      <c r="I163" s="63"/>
      <c r="J163" s="63"/>
      <c r="K163" s="20">
        <v>1</v>
      </c>
      <c r="L163" s="21">
        <f>ROUND(2.48,2)</f>
        <v>2.48</v>
      </c>
      <c r="M163" s="21">
        <f t="shared" si="6"/>
        <v>2.48</v>
      </c>
    </row>
    <row r="164" spans="1:13" ht="21.2" customHeight="1" thickBot="1" x14ac:dyDescent="0.25">
      <c r="A164" s="5" t="s">
        <v>484</v>
      </c>
      <c r="B164" s="5" t="s">
        <v>485</v>
      </c>
      <c r="C164" s="5" t="s">
        <v>486</v>
      </c>
      <c r="D164" s="63" t="s">
        <v>487</v>
      </c>
      <c r="E164" s="63"/>
      <c r="F164" s="63"/>
      <c r="G164" s="63"/>
      <c r="H164" s="63"/>
      <c r="I164" s="63"/>
      <c r="J164" s="63"/>
      <c r="K164" s="20">
        <v>1</v>
      </c>
      <c r="L164" s="21">
        <f>ROUND(0.31,2)</f>
        <v>0.31</v>
      </c>
      <c r="M164" s="21">
        <f t="shared" si="6"/>
        <v>0.31</v>
      </c>
    </row>
    <row r="165" spans="1:13" ht="15" customHeight="1" thickBot="1" x14ac:dyDescent="0.25">
      <c r="A165" s="5" t="s">
        <v>488</v>
      </c>
      <c r="B165" s="5" t="s">
        <v>489</v>
      </c>
      <c r="C165" s="5" t="s">
        <v>490</v>
      </c>
      <c r="D165" s="63" t="s">
        <v>491</v>
      </c>
      <c r="E165" s="63"/>
      <c r="F165" s="63"/>
      <c r="G165" s="63"/>
      <c r="H165" s="63"/>
      <c r="I165" s="63"/>
      <c r="J165" s="63"/>
      <c r="K165" s="20">
        <v>7.0000000000000001E-3</v>
      </c>
      <c r="L165" s="21">
        <f>ROUND(10.78,2)</f>
        <v>10.78</v>
      </c>
      <c r="M165" s="21">
        <f t="shared" si="6"/>
        <v>0.08</v>
      </c>
    </row>
    <row r="166" spans="1:13" ht="15" customHeight="1" thickBot="1" x14ac:dyDescent="0.25">
      <c r="A166" s="5" t="s">
        <v>492</v>
      </c>
      <c r="B166" s="5" t="s">
        <v>493</v>
      </c>
      <c r="C166" s="5" t="s">
        <v>494</v>
      </c>
      <c r="D166" s="63" t="s">
        <v>495</v>
      </c>
      <c r="E166" s="63"/>
      <c r="F166" s="63"/>
      <c r="G166" s="63"/>
      <c r="H166" s="63"/>
      <c r="I166" s="63"/>
      <c r="J166" s="63"/>
      <c r="K166" s="20">
        <v>5.2999999999999999E-2</v>
      </c>
      <c r="L166" s="21">
        <f>ROUND(4.06,2)</f>
        <v>4.0599999999999996</v>
      </c>
      <c r="M166" s="21">
        <f t="shared" si="6"/>
        <v>0.22</v>
      </c>
    </row>
    <row r="167" spans="1:13" ht="15" customHeight="1" thickBot="1" x14ac:dyDescent="0.25">
      <c r="A167" s="5" t="s">
        <v>496</v>
      </c>
      <c r="B167" s="5" t="s">
        <v>497</v>
      </c>
      <c r="C167" s="5" t="s">
        <v>498</v>
      </c>
      <c r="D167" s="63" t="s">
        <v>499</v>
      </c>
      <c r="E167" s="63"/>
      <c r="F167" s="63"/>
      <c r="G167" s="63"/>
      <c r="H167" s="63"/>
      <c r="I167" s="63"/>
      <c r="J167" s="63"/>
      <c r="K167" s="20">
        <v>1E-3</v>
      </c>
      <c r="L167" s="21">
        <f>ROUND(46.51,2)</f>
        <v>46.51</v>
      </c>
      <c r="M167" s="21">
        <f t="shared" si="6"/>
        <v>0.05</v>
      </c>
    </row>
    <row r="168" spans="1:13" ht="15" customHeight="1" thickBot="1" x14ac:dyDescent="0.25">
      <c r="A168" s="5" t="s">
        <v>500</v>
      </c>
      <c r="B168" s="5" t="s">
        <v>501</v>
      </c>
      <c r="C168" s="5" t="s">
        <v>502</v>
      </c>
      <c r="D168" s="63" t="s">
        <v>503</v>
      </c>
      <c r="E168" s="63"/>
      <c r="F168" s="63"/>
      <c r="G168" s="63"/>
      <c r="H168" s="63"/>
      <c r="I168" s="63"/>
      <c r="J168" s="63"/>
      <c r="K168" s="20">
        <v>6.0999999999999999E-2</v>
      </c>
      <c r="L168" s="21">
        <f>ROUND(28.06,2)</f>
        <v>28.06</v>
      </c>
      <c r="M168" s="21">
        <f t="shared" si="6"/>
        <v>1.71</v>
      </c>
    </row>
    <row r="169" spans="1:13" ht="15" customHeight="1" thickBot="1" x14ac:dyDescent="0.25">
      <c r="A169" s="5" t="s">
        <v>504</v>
      </c>
      <c r="B169" s="5" t="s">
        <v>505</v>
      </c>
      <c r="C169" s="5" t="s">
        <v>506</v>
      </c>
      <c r="D169" s="63" t="s">
        <v>507</v>
      </c>
      <c r="E169" s="63"/>
      <c r="F169" s="63"/>
      <c r="G169" s="63"/>
      <c r="H169" s="63"/>
      <c r="I169" s="63"/>
      <c r="J169" s="63"/>
      <c r="K169" s="20">
        <v>6.0999999999999999E-2</v>
      </c>
      <c r="L169" s="21">
        <f>ROUND(23.46,2)</f>
        <v>23.46</v>
      </c>
      <c r="M169" s="21">
        <f t="shared" si="6"/>
        <v>1.43</v>
      </c>
    </row>
    <row r="170" spans="1:13" ht="15" customHeight="1" thickBot="1" x14ac:dyDescent="0.25">
      <c r="A170" s="5" t="s">
        <v>508</v>
      </c>
      <c r="B170" s="5" t="s">
        <v>509</v>
      </c>
      <c r="C170" s="5" t="s">
        <v>510</v>
      </c>
      <c r="D170" s="63" t="s">
        <v>511</v>
      </c>
      <c r="E170" s="63"/>
      <c r="F170" s="63"/>
      <c r="G170" s="63"/>
      <c r="H170" s="63"/>
      <c r="I170" s="63"/>
      <c r="J170" s="63"/>
      <c r="K170" s="20">
        <v>3.9E-2</v>
      </c>
      <c r="L170" s="21">
        <f>ROUND(28.99,2)</f>
        <v>28.99</v>
      </c>
      <c r="M170" s="21">
        <f t="shared" si="6"/>
        <v>1.1299999999999999</v>
      </c>
    </row>
    <row r="171" spans="1:13" ht="15" customHeight="1" thickBot="1" x14ac:dyDescent="0.25">
      <c r="A171" s="5" t="s">
        <v>512</v>
      </c>
      <c r="B171" s="5" t="s">
        <v>513</v>
      </c>
      <c r="C171" s="5" t="s">
        <v>514</v>
      </c>
      <c r="D171" s="63" t="s">
        <v>515</v>
      </c>
      <c r="E171" s="63"/>
      <c r="F171" s="63"/>
      <c r="G171" s="63"/>
      <c r="H171" s="63"/>
      <c r="I171" s="63"/>
      <c r="J171" s="63"/>
      <c r="K171" s="20">
        <v>2.4E-2</v>
      </c>
      <c r="L171" s="21">
        <f>ROUND(24.89,2)</f>
        <v>24.89</v>
      </c>
      <c r="M171" s="21">
        <f t="shared" si="6"/>
        <v>0.6</v>
      </c>
    </row>
    <row r="172" spans="1:13" ht="15" customHeight="1" thickBot="1" x14ac:dyDescent="0.25">
      <c r="A172" s="5" t="s">
        <v>516</v>
      </c>
      <c r="B172" s="5"/>
      <c r="C172" s="5" t="s">
        <v>517</v>
      </c>
      <c r="D172" s="63" t="s">
        <v>518</v>
      </c>
      <c r="E172" s="63"/>
      <c r="F172" s="63"/>
      <c r="G172" s="63"/>
      <c r="H172" s="63"/>
      <c r="I172" s="63"/>
      <c r="J172" s="63"/>
      <c r="K172" s="20">
        <v>2</v>
      </c>
      <c r="L172" s="21">
        <f>ROUND(8.95,2)</f>
        <v>8.9499999999999993</v>
      </c>
      <c r="M172" s="21">
        <f>ROUND((K172*L172)/100,2)</f>
        <v>0.18</v>
      </c>
    </row>
    <row r="173" spans="1:13" ht="15.4" customHeight="1" thickBot="1" x14ac:dyDescent="0.25">
      <c r="A173" s="34"/>
      <c r="B173" s="34"/>
      <c r="C173" s="34"/>
      <c r="D173" s="35" t="s">
        <v>519</v>
      </c>
      <c r="E173" s="34"/>
      <c r="F173" s="34"/>
      <c r="G173" s="34"/>
      <c r="H173" s="34"/>
      <c r="I173" s="34"/>
      <c r="J173" s="34"/>
      <c r="K173" s="36">
        <v>280.60000000000002</v>
      </c>
      <c r="L173" s="37">
        <f>ROUND((M162+M163+M164+M165+M166+M167+M168+M169+M170+M171+M172)*(1+M2/100),2)</f>
        <v>9.59</v>
      </c>
      <c r="M173" s="37">
        <f>ROUND(K173*L173,2)</f>
        <v>2690.95</v>
      </c>
    </row>
    <row r="174" spans="1:13" ht="30.4" customHeight="1" thickBot="1" x14ac:dyDescent="0.25">
      <c r="A174" s="38" t="s">
        <v>520</v>
      </c>
      <c r="B174" s="39" t="s">
        <v>521</v>
      </c>
      <c r="C174" s="39" t="s">
        <v>522</v>
      </c>
      <c r="D174" s="64" t="s">
        <v>523</v>
      </c>
      <c r="E174" s="64"/>
      <c r="F174" s="64"/>
      <c r="G174" s="64"/>
      <c r="H174" s="64"/>
      <c r="I174" s="64"/>
      <c r="J174" s="64"/>
      <c r="K174" s="40">
        <f>ROUND(6,2)</f>
        <v>6</v>
      </c>
      <c r="L174" s="41">
        <f>L178</f>
        <v>134.44999999999999</v>
      </c>
      <c r="M174" s="41">
        <f>ROUND(K174*L174,2)</f>
        <v>806.7</v>
      </c>
    </row>
    <row r="175" spans="1:13" ht="67.150000000000006" customHeight="1" thickBot="1" x14ac:dyDescent="0.25">
      <c r="A175" s="22"/>
      <c r="B175" s="22"/>
      <c r="C175" s="22"/>
      <c r="D175" s="63" t="s">
        <v>524</v>
      </c>
      <c r="E175" s="63"/>
      <c r="F175" s="63"/>
      <c r="G175" s="63"/>
      <c r="H175" s="63"/>
      <c r="I175" s="63"/>
      <c r="J175" s="63"/>
      <c r="K175" s="63"/>
      <c r="L175" s="63"/>
      <c r="M175" s="63"/>
    </row>
    <row r="176" spans="1:13" ht="24.2" customHeight="1" thickBot="1" x14ac:dyDescent="0.25">
      <c r="A176" s="5" t="s">
        <v>525</v>
      </c>
      <c r="B176" s="5" t="s">
        <v>526</v>
      </c>
      <c r="C176" s="5" t="s">
        <v>527</v>
      </c>
      <c r="D176" s="63" t="s">
        <v>528</v>
      </c>
      <c r="E176" s="63"/>
      <c r="F176" s="63"/>
      <c r="G176" s="63"/>
      <c r="H176" s="63"/>
      <c r="I176" s="63"/>
      <c r="J176" s="63"/>
      <c r="K176" s="20">
        <v>1.083</v>
      </c>
      <c r="L176" s="21">
        <f>ROUND(115.92,2)</f>
        <v>115.92</v>
      </c>
      <c r="M176" s="21">
        <f>ROUND(K176*L176,2)</f>
        <v>125.54</v>
      </c>
    </row>
    <row r="177" spans="1:13" ht="15" customHeight="1" thickBot="1" x14ac:dyDescent="0.25">
      <c r="A177" s="5" t="s">
        <v>529</v>
      </c>
      <c r="B177" s="5"/>
      <c r="C177" s="5" t="s">
        <v>530</v>
      </c>
      <c r="D177" s="63" t="s">
        <v>531</v>
      </c>
      <c r="E177" s="63"/>
      <c r="F177" s="63"/>
      <c r="G177" s="63"/>
      <c r="H177" s="63"/>
      <c r="I177" s="63"/>
      <c r="J177" s="63"/>
      <c r="K177" s="20">
        <v>2</v>
      </c>
      <c r="L177" s="21">
        <f>ROUND(125.54,2)</f>
        <v>125.54</v>
      </c>
      <c r="M177" s="21">
        <f>ROUND((K177*L177)/100,2)</f>
        <v>2.5099999999999998</v>
      </c>
    </row>
    <row r="178" spans="1:13" ht="15.4" customHeight="1" thickBot="1" x14ac:dyDescent="0.25">
      <c r="A178" s="34"/>
      <c r="B178" s="34"/>
      <c r="C178" s="34"/>
      <c r="D178" s="35" t="s">
        <v>532</v>
      </c>
      <c r="E178" s="34"/>
      <c r="F178" s="34"/>
      <c r="G178" s="34"/>
      <c r="H178" s="34"/>
      <c r="I178" s="34"/>
      <c r="J178" s="34"/>
      <c r="K178" s="36">
        <v>6</v>
      </c>
      <c r="L178" s="37">
        <f>ROUND((M176+M177)*(1+M2/100),2)</f>
        <v>134.44999999999999</v>
      </c>
      <c r="M178" s="37">
        <f>ROUND(K178*L178,2)</f>
        <v>806.7</v>
      </c>
    </row>
    <row r="179" spans="1:13" ht="39.6" customHeight="1" thickBot="1" x14ac:dyDescent="0.25">
      <c r="A179" s="38" t="s">
        <v>533</v>
      </c>
      <c r="B179" s="39" t="s">
        <v>534</v>
      </c>
      <c r="C179" s="39" t="s">
        <v>535</v>
      </c>
      <c r="D179" s="64" t="s">
        <v>536</v>
      </c>
      <c r="E179" s="64"/>
      <c r="F179" s="64"/>
      <c r="G179" s="64"/>
      <c r="H179" s="64"/>
      <c r="I179" s="64"/>
      <c r="J179" s="64"/>
      <c r="K179" s="40">
        <f>ROUND(5,2)</f>
        <v>5</v>
      </c>
      <c r="L179" s="41">
        <f>L183</f>
        <v>115.03</v>
      </c>
      <c r="M179" s="41">
        <f>ROUND(K179*L179,2)</f>
        <v>575.15</v>
      </c>
    </row>
    <row r="180" spans="1:13" ht="67.150000000000006" customHeight="1" thickBot="1" x14ac:dyDescent="0.25">
      <c r="A180" s="22"/>
      <c r="B180" s="22"/>
      <c r="C180" s="22"/>
      <c r="D180" s="63" t="s">
        <v>537</v>
      </c>
      <c r="E180" s="63"/>
      <c r="F180" s="63"/>
      <c r="G180" s="63"/>
      <c r="H180" s="63"/>
      <c r="I180" s="63"/>
      <c r="J180" s="63"/>
      <c r="K180" s="63"/>
      <c r="L180" s="63"/>
      <c r="M180" s="63"/>
    </row>
    <row r="181" spans="1:13" ht="24.2" customHeight="1" thickBot="1" x14ac:dyDescent="0.25">
      <c r="A181" s="5" t="s">
        <v>538</v>
      </c>
      <c r="B181" s="5" t="s">
        <v>539</v>
      </c>
      <c r="C181" s="5" t="s">
        <v>540</v>
      </c>
      <c r="D181" s="63" t="s">
        <v>541</v>
      </c>
      <c r="E181" s="63"/>
      <c r="F181" s="63"/>
      <c r="G181" s="63"/>
      <c r="H181" s="63"/>
      <c r="I181" s="63"/>
      <c r="J181" s="63"/>
      <c r="K181" s="20">
        <v>1.083</v>
      </c>
      <c r="L181" s="21">
        <f>ROUND(99.17,2)</f>
        <v>99.17</v>
      </c>
      <c r="M181" s="21">
        <f>ROUND(K181*L181,2)</f>
        <v>107.4</v>
      </c>
    </row>
    <row r="182" spans="1:13" ht="15" customHeight="1" thickBot="1" x14ac:dyDescent="0.25">
      <c r="A182" s="5" t="s">
        <v>542</v>
      </c>
      <c r="B182" s="5"/>
      <c r="C182" s="5" t="s">
        <v>543</v>
      </c>
      <c r="D182" s="63" t="s">
        <v>544</v>
      </c>
      <c r="E182" s="63"/>
      <c r="F182" s="63"/>
      <c r="G182" s="63"/>
      <c r="H182" s="63"/>
      <c r="I182" s="63"/>
      <c r="J182" s="63"/>
      <c r="K182" s="20">
        <v>2</v>
      </c>
      <c r="L182" s="21">
        <f>ROUND(107.4,2)</f>
        <v>107.4</v>
      </c>
      <c r="M182" s="21">
        <f>ROUND((K182*L182)/100,2)</f>
        <v>2.15</v>
      </c>
    </row>
    <row r="183" spans="1:13" ht="15.4" customHeight="1" thickBot="1" x14ac:dyDescent="0.25">
      <c r="A183" s="34"/>
      <c r="B183" s="34"/>
      <c r="C183" s="34"/>
      <c r="D183" s="35" t="s">
        <v>545</v>
      </c>
      <c r="E183" s="34"/>
      <c r="F183" s="34"/>
      <c r="G183" s="34"/>
      <c r="H183" s="34"/>
      <c r="I183" s="34"/>
      <c r="J183" s="34"/>
      <c r="K183" s="36">
        <v>5</v>
      </c>
      <c r="L183" s="37">
        <f>ROUND((M181+M182)*(1+M2/100),2)</f>
        <v>115.03</v>
      </c>
      <c r="M183" s="37">
        <f>ROUND(K183*L183,2)</f>
        <v>575.15</v>
      </c>
    </row>
    <row r="184" spans="1:13" ht="30.4" customHeight="1" thickBot="1" x14ac:dyDescent="0.25">
      <c r="A184" s="38" t="s">
        <v>546</v>
      </c>
      <c r="B184" s="39" t="s">
        <v>547</v>
      </c>
      <c r="C184" s="39" t="s">
        <v>548</v>
      </c>
      <c r="D184" s="64" t="s">
        <v>549</v>
      </c>
      <c r="E184" s="64"/>
      <c r="F184" s="64"/>
      <c r="G184" s="64"/>
      <c r="H184" s="64"/>
      <c r="I184" s="64"/>
      <c r="J184" s="64"/>
      <c r="K184" s="40">
        <f>ROUND(2,2)</f>
        <v>2</v>
      </c>
      <c r="L184" s="41">
        <f>L188</f>
        <v>272.93</v>
      </c>
      <c r="M184" s="41">
        <f>ROUND(K184*L184,2)</f>
        <v>545.86</v>
      </c>
    </row>
    <row r="185" spans="1:13" ht="67.150000000000006" customHeight="1" thickBot="1" x14ac:dyDescent="0.25">
      <c r="A185" s="22"/>
      <c r="B185" s="22"/>
      <c r="C185" s="22"/>
      <c r="D185" s="63" t="s">
        <v>550</v>
      </c>
      <c r="E185" s="63"/>
      <c r="F185" s="63"/>
      <c r="G185" s="63"/>
      <c r="H185" s="63"/>
      <c r="I185" s="63"/>
      <c r="J185" s="63"/>
      <c r="K185" s="63"/>
      <c r="L185" s="63"/>
      <c r="M185" s="63"/>
    </row>
    <row r="186" spans="1:13" ht="30.4" customHeight="1" thickBot="1" x14ac:dyDescent="0.25">
      <c r="A186" s="5" t="s">
        <v>551</v>
      </c>
      <c r="B186" s="5" t="s">
        <v>552</v>
      </c>
      <c r="C186" s="5" t="s">
        <v>553</v>
      </c>
      <c r="D186" s="63" t="s">
        <v>554</v>
      </c>
      <c r="E186" s="63"/>
      <c r="F186" s="63"/>
      <c r="G186" s="63"/>
      <c r="H186" s="63"/>
      <c r="I186" s="63"/>
      <c r="J186" s="63"/>
      <c r="K186" s="20">
        <v>1.083</v>
      </c>
      <c r="L186" s="21">
        <f>ROUND(235.3,2)</f>
        <v>235.3</v>
      </c>
      <c r="M186" s="21">
        <f>ROUND(K186*L186,2)</f>
        <v>254.83</v>
      </c>
    </row>
    <row r="187" spans="1:13" ht="15" customHeight="1" thickBot="1" x14ac:dyDescent="0.25">
      <c r="A187" s="5" t="s">
        <v>555</v>
      </c>
      <c r="B187" s="5"/>
      <c r="C187" s="5" t="s">
        <v>556</v>
      </c>
      <c r="D187" s="63" t="s">
        <v>557</v>
      </c>
      <c r="E187" s="63"/>
      <c r="F187" s="63"/>
      <c r="G187" s="63"/>
      <c r="H187" s="63"/>
      <c r="I187" s="63"/>
      <c r="J187" s="63"/>
      <c r="K187" s="20">
        <v>2</v>
      </c>
      <c r="L187" s="21">
        <f>ROUND(254.83,2)</f>
        <v>254.83</v>
      </c>
      <c r="M187" s="21">
        <f>ROUND((K187*L187)/100,2)</f>
        <v>5.0999999999999996</v>
      </c>
    </row>
    <row r="188" spans="1:13" ht="15.4" customHeight="1" thickBot="1" x14ac:dyDescent="0.25">
      <c r="A188" s="34"/>
      <c r="B188" s="34"/>
      <c r="C188" s="34"/>
      <c r="D188" s="35" t="s">
        <v>558</v>
      </c>
      <c r="E188" s="34"/>
      <c r="F188" s="34"/>
      <c r="G188" s="34"/>
      <c r="H188" s="34"/>
      <c r="I188" s="34"/>
      <c r="J188" s="34"/>
      <c r="K188" s="36">
        <v>2</v>
      </c>
      <c r="L188" s="37">
        <f>ROUND((M186+M187)*(1+M2/100),2)</f>
        <v>272.93</v>
      </c>
      <c r="M188" s="37">
        <f>ROUND(K188*L188,2)</f>
        <v>545.86</v>
      </c>
    </row>
    <row r="189" spans="1:13" ht="15.4" customHeight="1" thickBot="1" x14ac:dyDescent="0.25">
      <c r="A189" s="43"/>
      <c r="B189" s="43"/>
      <c r="C189" s="43"/>
      <c r="D189" s="44" t="s">
        <v>559</v>
      </c>
      <c r="E189" s="45"/>
      <c r="F189" s="45"/>
      <c r="G189" s="45"/>
      <c r="H189" s="45"/>
      <c r="I189" s="45"/>
      <c r="J189" s="45"/>
      <c r="K189" s="45"/>
      <c r="L189" s="46">
        <f>M54+M66+M68+M79+M84+M97+M114+M126+M138+M148+M157+M174+M179+M184</f>
        <v>23856.34</v>
      </c>
      <c r="M189" s="46">
        <f>ROUND(L189,2)</f>
        <v>23856.34</v>
      </c>
    </row>
    <row r="190" spans="1:13" ht="15.4" customHeight="1" thickBot="1" x14ac:dyDescent="0.25">
      <c r="A190" s="47" t="s">
        <v>560</v>
      </c>
      <c r="B190" s="47" t="s">
        <v>561</v>
      </c>
      <c r="C190" s="48"/>
      <c r="D190" s="65" t="s">
        <v>562</v>
      </c>
      <c r="E190" s="65"/>
      <c r="F190" s="65"/>
      <c r="G190" s="65"/>
      <c r="H190" s="65"/>
      <c r="I190" s="65"/>
      <c r="J190" s="65"/>
      <c r="K190" s="48"/>
      <c r="L190" s="49">
        <f>L280</f>
        <v>6727.55</v>
      </c>
      <c r="M190" s="49">
        <f>ROUND(L190,2)</f>
        <v>6727.55</v>
      </c>
    </row>
    <row r="191" spans="1:13" ht="15.4" customHeight="1" thickBot="1" x14ac:dyDescent="0.25">
      <c r="A191" s="10" t="s">
        <v>563</v>
      </c>
      <c r="B191" s="5" t="s">
        <v>564</v>
      </c>
      <c r="C191" s="5" t="s">
        <v>565</v>
      </c>
      <c r="D191" s="63" t="s">
        <v>566</v>
      </c>
      <c r="E191" s="63"/>
      <c r="F191" s="63"/>
      <c r="G191" s="63"/>
      <c r="H191" s="63"/>
      <c r="I191" s="63"/>
      <c r="J191" s="63"/>
      <c r="K191" s="20">
        <f>ROUND(1,2)</f>
        <v>1</v>
      </c>
      <c r="L191" s="21">
        <f>ROUND(171.72*(1+M2/100),2)</f>
        <v>180.31</v>
      </c>
      <c r="M191" s="21">
        <f>ROUND(K191*L191,2)</f>
        <v>180.31</v>
      </c>
    </row>
    <row r="192" spans="1:13" ht="12" customHeight="1" thickBot="1" x14ac:dyDescent="0.25">
      <c r="A192" s="22"/>
      <c r="B192" s="22"/>
      <c r="C192" s="22"/>
      <c r="D192" s="63" t="s">
        <v>567</v>
      </c>
      <c r="E192" s="63"/>
      <c r="F192" s="63"/>
      <c r="G192" s="63"/>
      <c r="H192" s="63"/>
      <c r="I192" s="63"/>
      <c r="J192" s="63"/>
      <c r="K192" s="63"/>
      <c r="L192" s="63"/>
      <c r="M192" s="63"/>
    </row>
    <row r="193" spans="1:13" ht="15.4" customHeight="1" thickBot="1" x14ac:dyDescent="0.25">
      <c r="A193" s="10" t="s">
        <v>568</v>
      </c>
      <c r="B193" s="5" t="s">
        <v>569</v>
      </c>
      <c r="C193" s="5" t="s">
        <v>570</v>
      </c>
      <c r="D193" s="63" t="s">
        <v>571</v>
      </c>
      <c r="E193" s="63"/>
      <c r="F193" s="63"/>
      <c r="G193" s="63"/>
      <c r="H193" s="63"/>
      <c r="I193" s="63"/>
      <c r="J193" s="63"/>
      <c r="K193" s="20">
        <f>SUM(K196:K196)</f>
        <v>325.2</v>
      </c>
      <c r="L193" s="21">
        <f>L201</f>
        <v>7.57</v>
      </c>
      <c r="M193" s="21">
        <f>ROUND(K193*L193,2)</f>
        <v>2461.7600000000002</v>
      </c>
    </row>
    <row r="194" spans="1:13" ht="48.75" customHeight="1" thickBot="1" x14ac:dyDescent="0.25">
      <c r="A194" s="22"/>
      <c r="B194" s="22"/>
      <c r="C194" s="22"/>
      <c r="D194" s="63" t="s">
        <v>572</v>
      </c>
      <c r="E194" s="63"/>
      <c r="F194" s="63"/>
      <c r="G194" s="63"/>
      <c r="H194" s="63"/>
      <c r="I194" s="63"/>
      <c r="J194" s="63"/>
      <c r="K194" s="63"/>
      <c r="L194" s="63"/>
      <c r="M194" s="63"/>
    </row>
    <row r="195" spans="1:13" ht="15" customHeight="1" thickBot="1" x14ac:dyDescent="0.25">
      <c r="A195" s="22"/>
      <c r="B195" s="22"/>
      <c r="C195" s="22"/>
      <c r="D195" s="22"/>
      <c r="E195" s="23"/>
      <c r="F195" s="25" t="s">
        <v>573</v>
      </c>
      <c r="G195" s="25" t="s">
        <v>574</v>
      </c>
      <c r="H195" s="25" t="s">
        <v>575</v>
      </c>
      <c r="I195" s="25" t="s">
        <v>576</v>
      </c>
      <c r="J195" s="25" t="s">
        <v>577</v>
      </c>
      <c r="K195" s="25" t="s">
        <v>578</v>
      </c>
      <c r="L195" s="22"/>
      <c r="M195" s="22"/>
    </row>
    <row r="196" spans="1:13" ht="15" customHeight="1" thickBot="1" x14ac:dyDescent="0.25">
      <c r="A196" s="22"/>
      <c r="B196" s="22"/>
      <c r="C196" s="22"/>
      <c r="D196" s="26"/>
      <c r="E196" s="27" t="s">
        <v>579</v>
      </c>
      <c r="F196" s="28">
        <v>271</v>
      </c>
      <c r="G196" s="29"/>
      <c r="H196" s="29"/>
      <c r="I196" s="29">
        <v>1.2</v>
      </c>
      <c r="J196" s="31">
        <f>ROUND(F196*I196,3)</f>
        <v>325.2</v>
      </c>
      <c r="K196" s="33">
        <f>SUM(J196:J196)</f>
        <v>325.2</v>
      </c>
      <c r="L196" s="22"/>
      <c r="M196" s="22"/>
    </row>
    <row r="197" spans="1:13" ht="15" customHeight="1" thickBot="1" x14ac:dyDescent="0.25">
      <c r="A197" s="5" t="s">
        <v>580</v>
      </c>
      <c r="B197" s="5" t="s">
        <v>581</v>
      </c>
      <c r="C197" s="5" t="s">
        <v>582</v>
      </c>
      <c r="D197" s="63" t="s">
        <v>583</v>
      </c>
      <c r="E197" s="63"/>
      <c r="F197" s="63"/>
      <c r="G197" s="63"/>
      <c r="H197" s="63"/>
      <c r="I197" s="63"/>
      <c r="J197" s="63"/>
      <c r="K197" s="20">
        <v>1</v>
      </c>
      <c r="L197" s="21">
        <f>ROUND(3.45,2)</f>
        <v>3.45</v>
      </c>
      <c r="M197" s="21">
        <f>ROUND(K197*L197,2)</f>
        <v>3.45</v>
      </c>
    </row>
    <row r="198" spans="1:13" ht="15" customHeight="1" thickBot="1" x14ac:dyDescent="0.25">
      <c r="A198" s="5" t="s">
        <v>584</v>
      </c>
      <c r="B198" s="5" t="s">
        <v>585</v>
      </c>
      <c r="C198" s="5" t="s">
        <v>586</v>
      </c>
      <c r="D198" s="63" t="s">
        <v>587</v>
      </c>
      <c r="E198" s="63"/>
      <c r="F198" s="63"/>
      <c r="G198" s="63"/>
      <c r="H198" s="63"/>
      <c r="I198" s="63"/>
      <c r="J198" s="63"/>
      <c r="K198" s="20">
        <v>0.1</v>
      </c>
      <c r="L198" s="21">
        <f>ROUND(1.41,2)</f>
        <v>1.41</v>
      </c>
      <c r="M198" s="21">
        <f>ROUND(K198*L198,2)</f>
        <v>0.14000000000000001</v>
      </c>
    </row>
    <row r="199" spans="1:13" ht="15" customHeight="1" thickBot="1" x14ac:dyDescent="0.25">
      <c r="A199" s="5" t="s">
        <v>588</v>
      </c>
      <c r="B199" s="5" t="s">
        <v>589</v>
      </c>
      <c r="C199" s="5" t="s">
        <v>590</v>
      </c>
      <c r="D199" s="63" t="s">
        <v>591</v>
      </c>
      <c r="E199" s="63"/>
      <c r="F199" s="63"/>
      <c r="G199" s="63"/>
      <c r="H199" s="63"/>
      <c r="I199" s="63"/>
      <c r="J199" s="63"/>
      <c r="K199" s="20">
        <v>0.12</v>
      </c>
      <c r="L199" s="21">
        <f>ROUND(28.99,2)</f>
        <v>28.99</v>
      </c>
      <c r="M199" s="21">
        <f>ROUND(K199*L199,2)</f>
        <v>3.48</v>
      </c>
    </row>
    <row r="200" spans="1:13" ht="15" customHeight="1" thickBot="1" x14ac:dyDescent="0.25">
      <c r="A200" s="5" t="s">
        <v>592</v>
      </c>
      <c r="B200" s="5"/>
      <c r="C200" s="5" t="s">
        <v>593</v>
      </c>
      <c r="D200" s="63" t="s">
        <v>594</v>
      </c>
      <c r="E200" s="63"/>
      <c r="F200" s="63"/>
      <c r="G200" s="63"/>
      <c r="H200" s="63"/>
      <c r="I200" s="63"/>
      <c r="J200" s="63"/>
      <c r="K200" s="20">
        <v>2</v>
      </c>
      <c r="L200" s="21">
        <f>ROUND(7.07,2)</f>
        <v>7.07</v>
      </c>
      <c r="M200" s="21">
        <f>ROUND((K200*L200)/100,2)</f>
        <v>0.14000000000000001</v>
      </c>
    </row>
    <row r="201" spans="1:13" ht="15.4" customHeight="1" thickBot="1" x14ac:dyDescent="0.25">
      <c r="A201" s="34"/>
      <c r="B201" s="34"/>
      <c r="C201" s="34"/>
      <c r="D201" s="35" t="s">
        <v>595</v>
      </c>
      <c r="E201" s="34"/>
      <c r="F201" s="34"/>
      <c r="G201" s="34"/>
      <c r="H201" s="34"/>
      <c r="I201" s="34"/>
      <c r="J201" s="34"/>
      <c r="K201" s="36">
        <v>325.2</v>
      </c>
      <c r="L201" s="37">
        <f>ROUND((M197+M198+M199+M200)*(1+M2/100),2)</f>
        <v>7.57</v>
      </c>
      <c r="M201" s="37">
        <f>ROUND(K201*L201,2)</f>
        <v>2461.7600000000002</v>
      </c>
    </row>
    <row r="202" spans="1:13" ht="15.4" customHeight="1" thickBot="1" x14ac:dyDescent="0.25">
      <c r="A202" s="38" t="s">
        <v>596</v>
      </c>
      <c r="B202" s="39" t="s">
        <v>597</v>
      </c>
      <c r="C202" s="39" t="s">
        <v>598</v>
      </c>
      <c r="D202" s="64" t="s">
        <v>599</v>
      </c>
      <c r="E202" s="64"/>
      <c r="F202" s="64"/>
      <c r="G202" s="64"/>
      <c r="H202" s="64"/>
      <c r="I202" s="64"/>
      <c r="J202" s="64"/>
      <c r="K202" s="40">
        <f>SUM(K205:K205)</f>
        <v>1</v>
      </c>
      <c r="L202" s="41">
        <f>L217</f>
        <v>203.79</v>
      </c>
      <c r="M202" s="41">
        <f>ROUND(K202*L202,2)</f>
        <v>203.79</v>
      </c>
    </row>
    <row r="203" spans="1:13" ht="67.150000000000006" customHeight="1" thickBot="1" x14ac:dyDescent="0.25">
      <c r="A203" s="22"/>
      <c r="B203" s="22"/>
      <c r="C203" s="22"/>
      <c r="D203" s="63" t="s">
        <v>600</v>
      </c>
      <c r="E203" s="63"/>
      <c r="F203" s="63"/>
      <c r="G203" s="63"/>
      <c r="H203" s="63"/>
      <c r="I203" s="63"/>
      <c r="J203" s="63"/>
      <c r="K203" s="63"/>
      <c r="L203" s="63"/>
      <c r="M203" s="63"/>
    </row>
    <row r="204" spans="1:13" ht="15" customHeight="1" thickBot="1" x14ac:dyDescent="0.25">
      <c r="A204" s="22"/>
      <c r="B204" s="22"/>
      <c r="C204" s="22"/>
      <c r="D204" s="22"/>
      <c r="E204" s="23"/>
      <c r="F204" s="25" t="s">
        <v>601</v>
      </c>
      <c r="G204" s="25" t="s">
        <v>602</v>
      </c>
      <c r="H204" s="25" t="s">
        <v>603</v>
      </c>
      <c r="I204" s="25" t="s">
        <v>604</v>
      </c>
      <c r="J204" s="25" t="s">
        <v>605</v>
      </c>
      <c r="K204" s="25" t="s">
        <v>606</v>
      </c>
      <c r="L204" s="22"/>
      <c r="M204" s="22"/>
    </row>
    <row r="205" spans="1:13" ht="15" customHeight="1" thickBot="1" x14ac:dyDescent="0.25">
      <c r="A205" s="22"/>
      <c r="B205" s="22"/>
      <c r="C205" s="22"/>
      <c r="D205" s="26"/>
      <c r="E205" s="27" t="s">
        <v>607</v>
      </c>
      <c r="F205" s="28">
        <v>1</v>
      </c>
      <c r="G205" s="29"/>
      <c r="H205" s="29"/>
      <c r="I205" s="29"/>
      <c r="J205" s="31">
        <f>ROUND(F205,3)</f>
        <v>1</v>
      </c>
      <c r="K205" s="33">
        <f>SUM(J205:J205)</f>
        <v>1</v>
      </c>
      <c r="L205" s="22"/>
      <c r="M205" s="22"/>
    </row>
    <row r="206" spans="1:13" ht="21.2" customHeight="1" thickBot="1" x14ac:dyDescent="0.25">
      <c r="A206" s="5" t="s">
        <v>608</v>
      </c>
      <c r="B206" s="5" t="s">
        <v>609</v>
      </c>
      <c r="C206" s="5" t="s">
        <v>610</v>
      </c>
      <c r="D206" s="63" t="s">
        <v>611</v>
      </c>
      <c r="E206" s="63"/>
      <c r="F206" s="63"/>
      <c r="G206" s="63"/>
      <c r="H206" s="63"/>
      <c r="I206" s="63"/>
      <c r="J206" s="63"/>
      <c r="K206" s="20">
        <v>1</v>
      </c>
      <c r="L206" s="21">
        <f>ROUND(22.06,2)</f>
        <v>22.06</v>
      </c>
      <c r="M206" s="21">
        <f t="shared" ref="M206:M215" si="7">ROUND(K206*L206,2)</f>
        <v>22.06</v>
      </c>
    </row>
    <row r="207" spans="1:13" ht="15" customHeight="1" thickBot="1" x14ac:dyDescent="0.25">
      <c r="A207" s="5" t="s">
        <v>612</v>
      </c>
      <c r="B207" s="5" t="s">
        <v>613</v>
      </c>
      <c r="C207" s="5" t="s">
        <v>614</v>
      </c>
      <c r="D207" s="63" t="s">
        <v>615</v>
      </c>
      <c r="E207" s="63"/>
      <c r="F207" s="63"/>
      <c r="G207" s="63"/>
      <c r="H207" s="63"/>
      <c r="I207" s="63"/>
      <c r="J207" s="63"/>
      <c r="K207" s="20">
        <v>0.25</v>
      </c>
      <c r="L207" s="21">
        <f>ROUND(3.45,2)</f>
        <v>3.45</v>
      </c>
      <c r="M207" s="21">
        <f t="shared" si="7"/>
        <v>0.86</v>
      </c>
    </row>
    <row r="208" spans="1:13" ht="15" customHeight="1" thickBot="1" x14ac:dyDescent="0.25">
      <c r="A208" s="5" t="s">
        <v>616</v>
      </c>
      <c r="B208" s="5" t="s">
        <v>617</v>
      </c>
      <c r="C208" s="5" t="s">
        <v>618</v>
      </c>
      <c r="D208" s="63" t="s">
        <v>619</v>
      </c>
      <c r="E208" s="63"/>
      <c r="F208" s="63"/>
      <c r="G208" s="63"/>
      <c r="H208" s="63"/>
      <c r="I208" s="63"/>
      <c r="J208" s="63"/>
      <c r="K208" s="20">
        <v>1</v>
      </c>
      <c r="L208" s="21">
        <f>ROUND(1.23,2)</f>
        <v>1.23</v>
      </c>
      <c r="M208" s="21">
        <f t="shared" si="7"/>
        <v>1.23</v>
      </c>
    </row>
    <row r="209" spans="1:13" ht="15" customHeight="1" thickBot="1" x14ac:dyDescent="0.25">
      <c r="A209" s="5" t="s">
        <v>620</v>
      </c>
      <c r="B209" s="5" t="s">
        <v>621</v>
      </c>
      <c r="C209" s="5" t="s">
        <v>622</v>
      </c>
      <c r="D209" s="63" t="s">
        <v>623</v>
      </c>
      <c r="E209" s="63"/>
      <c r="F209" s="63"/>
      <c r="G209" s="63"/>
      <c r="H209" s="63"/>
      <c r="I209" s="63"/>
      <c r="J209" s="63"/>
      <c r="K209" s="20">
        <v>1</v>
      </c>
      <c r="L209" s="21">
        <f>ROUND(90.68,2)</f>
        <v>90.68</v>
      </c>
      <c r="M209" s="21">
        <f t="shared" si="7"/>
        <v>90.68</v>
      </c>
    </row>
    <row r="210" spans="1:13" ht="15" customHeight="1" thickBot="1" x14ac:dyDescent="0.25">
      <c r="A210" s="5" t="s">
        <v>624</v>
      </c>
      <c r="B210" s="5" t="s">
        <v>625</v>
      </c>
      <c r="C210" s="5" t="s">
        <v>626</v>
      </c>
      <c r="D210" s="63" t="s">
        <v>627</v>
      </c>
      <c r="E210" s="63"/>
      <c r="F210" s="63"/>
      <c r="G210" s="63"/>
      <c r="H210" s="63"/>
      <c r="I210" s="63"/>
      <c r="J210" s="63"/>
      <c r="K210" s="20">
        <v>1</v>
      </c>
      <c r="L210" s="21">
        <f>ROUND(56.37,2)</f>
        <v>56.37</v>
      </c>
      <c r="M210" s="21">
        <f t="shared" si="7"/>
        <v>56.37</v>
      </c>
    </row>
    <row r="211" spans="1:13" ht="15" customHeight="1" thickBot="1" x14ac:dyDescent="0.25">
      <c r="A211" s="5" t="s">
        <v>628</v>
      </c>
      <c r="B211" s="5" t="s">
        <v>629</v>
      </c>
      <c r="C211" s="5" t="s">
        <v>630</v>
      </c>
      <c r="D211" s="63" t="s">
        <v>631</v>
      </c>
      <c r="E211" s="63"/>
      <c r="F211" s="63"/>
      <c r="G211" s="63"/>
      <c r="H211" s="63"/>
      <c r="I211" s="63"/>
      <c r="J211" s="63"/>
      <c r="K211" s="20">
        <v>0.33300000000000002</v>
      </c>
      <c r="L211" s="21">
        <f>ROUND(4.29,2)</f>
        <v>4.29</v>
      </c>
      <c r="M211" s="21">
        <f t="shared" si="7"/>
        <v>1.43</v>
      </c>
    </row>
    <row r="212" spans="1:13" ht="15" customHeight="1" thickBot="1" x14ac:dyDescent="0.25">
      <c r="A212" s="5" t="s">
        <v>632</v>
      </c>
      <c r="B212" s="5" t="s">
        <v>633</v>
      </c>
      <c r="C212" s="5" t="s">
        <v>634</v>
      </c>
      <c r="D212" s="63" t="s">
        <v>635</v>
      </c>
      <c r="E212" s="63"/>
      <c r="F212" s="63"/>
      <c r="G212" s="63"/>
      <c r="H212" s="63"/>
      <c r="I212" s="63"/>
      <c r="J212" s="63"/>
      <c r="K212" s="20">
        <v>1</v>
      </c>
      <c r="L212" s="21">
        <f>ROUND(1.41,2)</f>
        <v>1.41</v>
      </c>
      <c r="M212" s="21">
        <f t="shared" si="7"/>
        <v>1.41</v>
      </c>
    </row>
    <row r="213" spans="1:13" ht="15" customHeight="1" thickBot="1" x14ac:dyDescent="0.25">
      <c r="A213" s="5" t="s">
        <v>636</v>
      </c>
      <c r="B213" s="5" t="s">
        <v>637</v>
      </c>
      <c r="C213" s="5" t="s">
        <v>638</v>
      </c>
      <c r="D213" s="63" t="s">
        <v>639</v>
      </c>
      <c r="E213" s="63"/>
      <c r="F213" s="63"/>
      <c r="G213" s="63"/>
      <c r="H213" s="63"/>
      <c r="I213" s="63"/>
      <c r="J213" s="63"/>
      <c r="K213" s="20">
        <v>0.30099999999999999</v>
      </c>
      <c r="L213" s="21">
        <f>ROUND(28.99,2)</f>
        <v>28.99</v>
      </c>
      <c r="M213" s="21">
        <f t="shared" si="7"/>
        <v>8.73</v>
      </c>
    </row>
    <row r="214" spans="1:13" ht="15" customHeight="1" thickBot="1" x14ac:dyDescent="0.25">
      <c r="A214" s="5" t="s">
        <v>640</v>
      </c>
      <c r="B214" s="5" t="s">
        <v>641</v>
      </c>
      <c r="C214" s="5" t="s">
        <v>642</v>
      </c>
      <c r="D214" s="63" t="s">
        <v>643</v>
      </c>
      <c r="E214" s="63"/>
      <c r="F214" s="63"/>
      <c r="G214" s="63"/>
      <c r="H214" s="63"/>
      <c r="I214" s="63"/>
      <c r="J214" s="63"/>
      <c r="K214" s="20">
        <v>0.30099999999999999</v>
      </c>
      <c r="L214" s="21">
        <f>ROUND(24.89,2)</f>
        <v>24.89</v>
      </c>
      <c r="M214" s="21">
        <f t="shared" si="7"/>
        <v>7.49</v>
      </c>
    </row>
    <row r="215" spans="1:13" ht="15" customHeight="1" thickBot="1" x14ac:dyDescent="0.25">
      <c r="A215" s="5" t="s">
        <v>644</v>
      </c>
      <c r="B215" s="5" t="s">
        <v>645</v>
      </c>
      <c r="C215" s="5" t="s">
        <v>646</v>
      </c>
      <c r="D215" s="63" t="s">
        <v>647</v>
      </c>
      <c r="E215" s="63"/>
      <c r="F215" s="63"/>
      <c r="G215" s="63"/>
      <c r="H215" s="63"/>
      <c r="I215" s="63"/>
      <c r="J215" s="63"/>
      <c r="K215" s="20">
        <v>1E-3</v>
      </c>
      <c r="L215" s="21">
        <f>ROUND(23.46,2)</f>
        <v>23.46</v>
      </c>
      <c r="M215" s="21">
        <f t="shared" si="7"/>
        <v>0.02</v>
      </c>
    </row>
    <row r="216" spans="1:13" ht="15" customHeight="1" thickBot="1" x14ac:dyDescent="0.25">
      <c r="A216" s="5" t="s">
        <v>648</v>
      </c>
      <c r="B216" s="5"/>
      <c r="C216" s="5" t="s">
        <v>649</v>
      </c>
      <c r="D216" s="63" t="s">
        <v>650</v>
      </c>
      <c r="E216" s="63"/>
      <c r="F216" s="63"/>
      <c r="G216" s="63"/>
      <c r="H216" s="63"/>
      <c r="I216" s="63"/>
      <c r="J216" s="63"/>
      <c r="K216" s="20">
        <v>2</v>
      </c>
      <c r="L216" s="21">
        <f>ROUND(190.28,2)</f>
        <v>190.28</v>
      </c>
      <c r="M216" s="21">
        <f>ROUND((K216*L216)/100,2)</f>
        <v>3.81</v>
      </c>
    </row>
    <row r="217" spans="1:13" ht="15.4" customHeight="1" thickBot="1" x14ac:dyDescent="0.25">
      <c r="A217" s="34"/>
      <c r="B217" s="34"/>
      <c r="C217" s="34"/>
      <c r="D217" s="35" t="s">
        <v>651</v>
      </c>
      <c r="E217" s="34"/>
      <c r="F217" s="34"/>
      <c r="G217" s="34"/>
      <c r="H217" s="34"/>
      <c r="I217" s="34"/>
      <c r="J217" s="34"/>
      <c r="K217" s="36">
        <v>1</v>
      </c>
      <c r="L217" s="37">
        <f>ROUND((M206+M207+M208+M209+M210+M211+M212+M213+M214+M215+M216)*(1+M2/100),2)</f>
        <v>203.79</v>
      </c>
      <c r="M217" s="37">
        <f>ROUND(K217*L217,2)</f>
        <v>203.79</v>
      </c>
    </row>
    <row r="218" spans="1:13" ht="15.4" customHeight="1" thickBot="1" x14ac:dyDescent="0.25">
      <c r="A218" s="38" t="s">
        <v>652</v>
      </c>
      <c r="B218" s="39" t="s">
        <v>653</v>
      </c>
      <c r="C218" s="39" t="s">
        <v>654</v>
      </c>
      <c r="D218" s="64" t="s">
        <v>655</v>
      </c>
      <c r="E218" s="64"/>
      <c r="F218" s="64"/>
      <c r="G218" s="64"/>
      <c r="H218" s="64"/>
      <c r="I218" s="64"/>
      <c r="J218" s="64"/>
      <c r="K218" s="40">
        <f>SUM(K221:K221)</f>
        <v>11</v>
      </c>
      <c r="L218" s="41">
        <f>L226</f>
        <v>128.33000000000001</v>
      </c>
      <c r="M218" s="41">
        <f>ROUND(K218*L218,2)</f>
        <v>1411.63</v>
      </c>
    </row>
    <row r="219" spans="1:13" ht="12" customHeight="1" thickBot="1" x14ac:dyDescent="0.25">
      <c r="A219" s="22"/>
      <c r="B219" s="22"/>
      <c r="C219" s="22"/>
      <c r="D219" s="63" t="s">
        <v>656</v>
      </c>
      <c r="E219" s="63"/>
      <c r="F219" s="63"/>
      <c r="G219" s="63"/>
      <c r="H219" s="63"/>
      <c r="I219" s="63"/>
      <c r="J219" s="63"/>
      <c r="K219" s="63"/>
      <c r="L219" s="63"/>
      <c r="M219" s="63"/>
    </row>
    <row r="220" spans="1:13" ht="15" customHeight="1" thickBot="1" x14ac:dyDescent="0.25">
      <c r="A220" s="22"/>
      <c r="B220" s="22"/>
      <c r="C220" s="22"/>
      <c r="D220" s="22"/>
      <c r="E220" s="23"/>
      <c r="F220" s="25" t="s">
        <v>657</v>
      </c>
      <c r="G220" s="25" t="s">
        <v>658</v>
      </c>
      <c r="H220" s="25" t="s">
        <v>659</v>
      </c>
      <c r="I220" s="25" t="s">
        <v>660</v>
      </c>
      <c r="J220" s="25" t="s">
        <v>661</v>
      </c>
      <c r="K220" s="25" t="s">
        <v>662</v>
      </c>
      <c r="L220" s="22"/>
      <c r="M220" s="22"/>
    </row>
    <row r="221" spans="1:13" ht="15" customHeight="1" thickBot="1" x14ac:dyDescent="0.25">
      <c r="A221" s="22"/>
      <c r="B221" s="22"/>
      <c r="C221" s="22"/>
      <c r="D221" s="26"/>
      <c r="E221" s="27" t="s">
        <v>663</v>
      </c>
      <c r="F221" s="28">
        <v>11</v>
      </c>
      <c r="G221" s="29"/>
      <c r="H221" s="29"/>
      <c r="I221" s="29"/>
      <c r="J221" s="31">
        <f>ROUND(F221,3)</f>
        <v>11</v>
      </c>
      <c r="K221" s="33">
        <f>SUM(J221:J221)</f>
        <v>11</v>
      </c>
      <c r="L221" s="22"/>
      <c r="M221" s="22"/>
    </row>
    <row r="222" spans="1:13" ht="24.2" customHeight="1" thickBot="1" x14ac:dyDescent="0.25">
      <c r="A222" s="5" t="s">
        <v>664</v>
      </c>
      <c r="B222" s="5" t="s">
        <v>665</v>
      </c>
      <c r="C222" s="5" t="s">
        <v>666</v>
      </c>
      <c r="D222" s="63" t="s">
        <v>667</v>
      </c>
      <c r="E222" s="63"/>
      <c r="F222" s="63"/>
      <c r="G222" s="63"/>
      <c r="H222" s="63"/>
      <c r="I222" s="63"/>
      <c r="J222" s="63"/>
      <c r="K222" s="20">
        <v>1</v>
      </c>
      <c r="L222" s="21">
        <f>ROUND(112.19,2)</f>
        <v>112.19</v>
      </c>
      <c r="M222" s="21">
        <f t="shared" ref="M222:M227" si="8">ROUND(K222*L222,2)</f>
        <v>112.19</v>
      </c>
    </row>
    <row r="223" spans="1:13" ht="15" customHeight="1" thickBot="1" x14ac:dyDescent="0.25">
      <c r="A223" s="5" t="s">
        <v>668</v>
      </c>
      <c r="B223" s="5" t="s">
        <v>669</v>
      </c>
      <c r="C223" s="5" t="s">
        <v>670</v>
      </c>
      <c r="D223" s="63" t="s">
        <v>671</v>
      </c>
      <c r="E223" s="63"/>
      <c r="F223" s="63"/>
      <c r="G223" s="63"/>
      <c r="H223" s="63"/>
      <c r="I223" s="63"/>
      <c r="J223" s="63"/>
      <c r="K223" s="20">
        <v>0.16</v>
      </c>
      <c r="L223" s="21">
        <f>ROUND(28.99,2)</f>
        <v>28.99</v>
      </c>
      <c r="M223" s="21">
        <f t="shared" si="8"/>
        <v>4.6399999999999997</v>
      </c>
    </row>
    <row r="224" spans="1:13" ht="15" customHeight="1" thickBot="1" x14ac:dyDescent="0.25">
      <c r="A224" s="5" t="s">
        <v>672</v>
      </c>
      <c r="B224" s="5" t="s">
        <v>673</v>
      </c>
      <c r="C224" s="5" t="s">
        <v>674</v>
      </c>
      <c r="D224" s="63" t="s">
        <v>675</v>
      </c>
      <c r="E224" s="63"/>
      <c r="F224" s="63"/>
      <c r="G224" s="63"/>
      <c r="H224" s="63"/>
      <c r="I224" s="63"/>
      <c r="J224" s="63"/>
      <c r="K224" s="20">
        <v>0.16</v>
      </c>
      <c r="L224" s="21">
        <f>ROUND(24.89,2)</f>
        <v>24.89</v>
      </c>
      <c r="M224" s="21">
        <f t="shared" si="8"/>
        <v>3.98</v>
      </c>
    </row>
    <row r="225" spans="1:13" ht="15" customHeight="1" thickBot="1" x14ac:dyDescent="0.25">
      <c r="A225" s="5" t="s">
        <v>676</v>
      </c>
      <c r="B225" s="5" t="s">
        <v>677</v>
      </c>
      <c r="C225" s="5" t="s">
        <v>678</v>
      </c>
      <c r="D225" s="63" t="s">
        <v>679</v>
      </c>
      <c r="E225" s="63"/>
      <c r="F225" s="63"/>
      <c r="G225" s="63"/>
      <c r="H225" s="63"/>
      <c r="I225" s="63"/>
      <c r="J225" s="63"/>
      <c r="K225" s="20">
        <v>1</v>
      </c>
      <c r="L225" s="21">
        <f>ROUND(1.41,2)</f>
        <v>1.41</v>
      </c>
      <c r="M225" s="21">
        <f t="shared" si="8"/>
        <v>1.41</v>
      </c>
    </row>
    <row r="226" spans="1:13" ht="15.4" customHeight="1" thickBot="1" x14ac:dyDescent="0.25">
      <c r="A226" s="34"/>
      <c r="B226" s="34"/>
      <c r="C226" s="34"/>
      <c r="D226" s="35" t="s">
        <v>680</v>
      </c>
      <c r="E226" s="34"/>
      <c r="F226" s="34"/>
      <c r="G226" s="34"/>
      <c r="H226" s="34"/>
      <c r="I226" s="34"/>
      <c r="J226" s="34"/>
      <c r="K226" s="36">
        <v>11</v>
      </c>
      <c r="L226" s="37">
        <f>ROUND((M222+M223+M224+M225)*(1+M2/100),2)</f>
        <v>128.33000000000001</v>
      </c>
      <c r="M226" s="37">
        <f t="shared" si="8"/>
        <v>1411.63</v>
      </c>
    </row>
    <row r="227" spans="1:13" ht="21.2" customHeight="1" thickBot="1" x14ac:dyDescent="0.25">
      <c r="A227" s="38" t="s">
        <v>681</v>
      </c>
      <c r="B227" s="39" t="s">
        <v>682</v>
      </c>
      <c r="C227" s="39" t="s">
        <v>683</v>
      </c>
      <c r="D227" s="64" t="s">
        <v>684</v>
      </c>
      <c r="E227" s="64"/>
      <c r="F227" s="64"/>
      <c r="G227" s="64"/>
      <c r="H227" s="64"/>
      <c r="I227" s="64"/>
      <c r="J227" s="64"/>
      <c r="K227" s="40">
        <f>SUM(K230:K230)</f>
        <v>118.8</v>
      </c>
      <c r="L227" s="41">
        <f>L235</f>
        <v>2.39</v>
      </c>
      <c r="M227" s="41">
        <f t="shared" si="8"/>
        <v>283.93</v>
      </c>
    </row>
    <row r="228" spans="1:13" ht="48.75" customHeight="1" thickBot="1" x14ac:dyDescent="0.25">
      <c r="A228" s="22"/>
      <c r="B228" s="22"/>
      <c r="C228" s="22"/>
      <c r="D228" s="63" t="s">
        <v>685</v>
      </c>
      <c r="E228" s="63"/>
      <c r="F228" s="63"/>
      <c r="G228" s="63"/>
      <c r="H228" s="63"/>
      <c r="I228" s="63"/>
      <c r="J228" s="63"/>
      <c r="K228" s="63"/>
      <c r="L228" s="63"/>
      <c r="M228" s="63"/>
    </row>
    <row r="229" spans="1:13" ht="15" customHeight="1" thickBot="1" x14ac:dyDescent="0.25">
      <c r="A229" s="22"/>
      <c r="B229" s="22"/>
      <c r="C229" s="22"/>
      <c r="D229" s="22"/>
      <c r="E229" s="23"/>
      <c r="F229" s="25" t="s">
        <v>686</v>
      </c>
      <c r="G229" s="25" t="s">
        <v>687</v>
      </c>
      <c r="H229" s="25" t="s">
        <v>688</v>
      </c>
      <c r="I229" s="25" t="s">
        <v>689</v>
      </c>
      <c r="J229" s="25" t="s">
        <v>690</v>
      </c>
      <c r="K229" s="25" t="s">
        <v>691</v>
      </c>
      <c r="L229" s="22"/>
      <c r="M229" s="22"/>
    </row>
    <row r="230" spans="1:13" ht="15" customHeight="1" thickBot="1" x14ac:dyDescent="0.25">
      <c r="A230" s="22"/>
      <c r="B230" s="22"/>
      <c r="C230" s="22"/>
      <c r="D230" s="26"/>
      <c r="E230" s="27" t="s">
        <v>692</v>
      </c>
      <c r="F230" s="28">
        <v>11</v>
      </c>
      <c r="G230" s="29">
        <v>9</v>
      </c>
      <c r="H230" s="29"/>
      <c r="I230" s="29">
        <v>1.2</v>
      </c>
      <c r="J230" s="31">
        <f>ROUND(F230*G230*I230,3)</f>
        <v>118.8</v>
      </c>
      <c r="K230" s="33">
        <f>SUM(J230:J230)</f>
        <v>118.8</v>
      </c>
      <c r="L230" s="22"/>
      <c r="M230" s="22"/>
    </row>
    <row r="231" spans="1:13" ht="30.4" customHeight="1" thickBot="1" x14ac:dyDescent="0.25">
      <c r="A231" s="5" t="s">
        <v>693</v>
      </c>
      <c r="B231" s="5" t="s">
        <v>694</v>
      </c>
      <c r="C231" s="5" t="s">
        <v>695</v>
      </c>
      <c r="D231" s="63" t="s">
        <v>696</v>
      </c>
      <c r="E231" s="63"/>
      <c r="F231" s="63"/>
      <c r="G231" s="63"/>
      <c r="H231" s="63"/>
      <c r="I231" s="63"/>
      <c r="J231" s="63"/>
      <c r="K231" s="20">
        <v>1</v>
      </c>
      <c r="L231" s="21">
        <f>ROUND(1.27,2)</f>
        <v>1.27</v>
      </c>
      <c r="M231" s="21">
        <f>ROUND(K231*L231,2)</f>
        <v>1.27</v>
      </c>
    </row>
    <row r="232" spans="1:13" ht="15" customHeight="1" thickBot="1" x14ac:dyDescent="0.25">
      <c r="A232" s="5" t="s">
        <v>697</v>
      </c>
      <c r="B232" s="5" t="s">
        <v>698</v>
      </c>
      <c r="C232" s="5" t="s">
        <v>699</v>
      </c>
      <c r="D232" s="63" t="s">
        <v>700</v>
      </c>
      <c r="E232" s="63"/>
      <c r="F232" s="63"/>
      <c r="G232" s="63"/>
      <c r="H232" s="63"/>
      <c r="I232" s="63"/>
      <c r="J232" s="63"/>
      <c r="K232" s="20">
        <v>1.7999999999999999E-2</v>
      </c>
      <c r="L232" s="21">
        <f>ROUND(28.99,2)</f>
        <v>28.99</v>
      </c>
      <c r="M232" s="21">
        <f>ROUND(K232*L232,2)</f>
        <v>0.52</v>
      </c>
    </row>
    <row r="233" spans="1:13" ht="15" customHeight="1" thickBot="1" x14ac:dyDescent="0.25">
      <c r="A233" s="5" t="s">
        <v>701</v>
      </c>
      <c r="B233" s="5" t="s">
        <v>702</v>
      </c>
      <c r="C233" s="5" t="s">
        <v>703</v>
      </c>
      <c r="D233" s="63" t="s">
        <v>704</v>
      </c>
      <c r="E233" s="63"/>
      <c r="F233" s="63"/>
      <c r="G233" s="63"/>
      <c r="H233" s="63"/>
      <c r="I233" s="63"/>
      <c r="J233" s="63"/>
      <c r="K233" s="20">
        <v>1.7999999999999999E-2</v>
      </c>
      <c r="L233" s="21">
        <f>ROUND(24.89,2)</f>
        <v>24.89</v>
      </c>
      <c r="M233" s="21">
        <f>ROUND(K233*L233,2)</f>
        <v>0.45</v>
      </c>
    </row>
    <row r="234" spans="1:13" ht="15" customHeight="1" thickBot="1" x14ac:dyDescent="0.25">
      <c r="A234" s="5" t="s">
        <v>705</v>
      </c>
      <c r="B234" s="5"/>
      <c r="C234" s="5" t="s">
        <v>706</v>
      </c>
      <c r="D234" s="63" t="s">
        <v>707</v>
      </c>
      <c r="E234" s="63"/>
      <c r="F234" s="63"/>
      <c r="G234" s="63"/>
      <c r="H234" s="63"/>
      <c r="I234" s="63"/>
      <c r="J234" s="63"/>
      <c r="K234" s="20">
        <v>2</v>
      </c>
      <c r="L234" s="21">
        <f>ROUND(2.24,2)</f>
        <v>2.2400000000000002</v>
      </c>
      <c r="M234" s="21">
        <f>ROUND((K234*L234)/100,2)</f>
        <v>0.04</v>
      </c>
    </row>
    <row r="235" spans="1:13" ht="15.4" customHeight="1" thickBot="1" x14ac:dyDescent="0.25">
      <c r="A235" s="34"/>
      <c r="B235" s="34"/>
      <c r="C235" s="34"/>
      <c r="D235" s="35" t="s">
        <v>708</v>
      </c>
      <c r="E235" s="34"/>
      <c r="F235" s="34"/>
      <c r="G235" s="34"/>
      <c r="H235" s="34"/>
      <c r="I235" s="34"/>
      <c r="J235" s="34"/>
      <c r="K235" s="36">
        <v>118.8</v>
      </c>
      <c r="L235" s="37">
        <f>ROUND((M231+M232+M233+M234)*(1+M2/100),2)</f>
        <v>2.39</v>
      </c>
      <c r="M235" s="37">
        <f>ROUND(K235*L235,2)</f>
        <v>283.93</v>
      </c>
    </row>
    <row r="236" spans="1:13" ht="21.2" customHeight="1" thickBot="1" x14ac:dyDescent="0.25">
      <c r="A236" s="38" t="s">
        <v>709</v>
      </c>
      <c r="B236" s="39" t="s">
        <v>710</v>
      </c>
      <c r="C236" s="39" t="s">
        <v>711</v>
      </c>
      <c r="D236" s="64" t="s">
        <v>712</v>
      </c>
      <c r="E236" s="64"/>
      <c r="F236" s="64"/>
      <c r="G236" s="64"/>
      <c r="H236" s="64"/>
      <c r="I236" s="64"/>
      <c r="J236" s="64"/>
      <c r="K236" s="40">
        <f>ROUND(1,2)</f>
        <v>1</v>
      </c>
      <c r="L236" s="41">
        <f>L241</f>
        <v>9.69</v>
      </c>
      <c r="M236" s="41">
        <f>ROUND(K236*L236,2)</f>
        <v>9.69</v>
      </c>
    </row>
    <row r="237" spans="1:13" ht="48.75" customHeight="1" thickBot="1" x14ac:dyDescent="0.25">
      <c r="A237" s="22"/>
      <c r="B237" s="22"/>
      <c r="C237" s="22"/>
      <c r="D237" s="63" t="s">
        <v>713</v>
      </c>
      <c r="E237" s="63"/>
      <c r="F237" s="63"/>
      <c r="G237" s="63"/>
      <c r="H237" s="63"/>
      <c r="I237" s="63"/>
      <c r="J237" s="63"/>
      <c r="K237" s="63"/>
      <c r="L237" s="63"/>
      <c r="M237" s="63"/>
    </row>
    <row r="238" spans="1:13" ht="30.4" customHeight="1" thickBot="1" x14ac:dyDescent="0.25">
      <c r="A238" s="5" t="s">
        <v>714</v>
      </c>
      <c r="B238" s="5" t="s">
        <v>715</v>
      </c>
      <c r="C238" s="5" t="s">
        <v>716</v>
      </c>
      <c r="D238" s="63" t="s">
        <v>717</v>
      </c>
      <c r="E238" s="63"/>
      <c r="F238" s="63"/>
      <c r="G238" s="63"/>
      <c r="H238" s="63"/>
      <c r="I238" s="63"/>
      <c r="J238" s="63"/>
      <c r="K238" s="20">
        <v>1</v>
      </c>
      <c r="L238" s="21">
        <f>ROUND(4.97,2)</f>
        <v>4.97</v>
      </c>
      <c r="M238" s="21">
        <f>ROUND(K238*L238,2)</f>
        <v>4.97</v>
      </c>
    </row>
    <row r="239" spans="1:13" ht="15" customHeight="1" thickBot="1" x14ac:dyDescent="0.25">
      <c r="A239" s="5" t="s">
        <v>718</v>
      </c>
      <c r="B239" s="5" t="s">
        <v>719</v>
      </c>
      <c r="C239" s="5" t="s">
        <v>720</v>
      </c>
      <c r="D239" s="63" t="s">
        <v>721</v>
      </c>
      <c r="E239" s="63"/>
      <c r="F239" s="63"/>
      <c r="G239" s="63"/>
      <c r="H239" s="63"/>
      <c r="I239" s="63"/>
      <c r="J239" s="63"/>
      <c r="K239" s="20">
        <v>7.9000000000000001E-2</v>
      </c>
      <c r="L239" s="21">
        <f>ROUND(28.99,2)</f>
        <v>28.99</v>
      </c>
      <c r="M239" s="21">
        <f>ROUND(K239*L239,2)</f>
        <v>2.29</v>
      </c>
    </row>
    <row r="240" spans="1:13" ht="15" customHeight="1" thickBot="1" x14ac:dyDescent="0.25">
      <c r="A240" s="5" t="s">
        <v>722</v>
      </c>
      <c r="B240" s="5" t="s">
        <v>723</v>
      </c>
      <c r="C240" s="5" t="s">
        <v>724</v>
      </c>
      <c r="D240" s="63" t="s">
        <v>725</v>
      </c>
      <c r="E240" s="63"/>
      <c r="F240" s="63"/>
      <c r="G240" s="63"/>
      <c r="H240" s="63"/>
      <c r="I240" s="63"/>
      <c r="J240" s="63"/>
      <c r="K240" s="20">
        <v>7.9000000000000001E-2</v>
      </c>
      <c r="L240" s="21">
        <f>ROUND(24.89,2)</f>
        <v>24.89</v>
      </c>
      <c r="M240" s="21">
        <f>ROUND(K240*L240,2)</f>
        <v>1.97</v>
      </c>
    </row>
    <row r="241" spans="1:13" ht="15.4" customHeight="1" thickBot="1" x14ac:dyDescent="0.25">
      <c r="A241" s="34"/>
      <c r="B241" s="34"/>
      <c r="C241" s="34"/>
      <c r="D241" s="35" t="s">
        <v>726</v>
      </c>
      <c r="E241" s="34"/>
      <c r="F241" s="34"/>
      <c r="G241" s="34"/>
      <c r="H241" s="34"/>
      <c r="I241" s="34"/>
      <c r="J241" s="34"/>
      <c r="K241" s="36">
        <v>1</v>
      </c>
      <c r="L241" s="37">
        <f>ROUND((M238+M239+M240)*(1+M2/100),2)</f>
        <v>9.69</v>
      </c>
      <c r="M241" s="37">
        <f>ROUND(K241*L241,2)</f>
        <v>9.69</v>
      </c>
    </row>
    <row r="242" spans="1:13" ht="21.2" customHeight="1" thickBot="1" x14ac:dyDescent="0.25">
      <c r="A242" s="38" t="s">
        <v>727</v>
      </c>
      <c r="B242" s="39" t="s">
        <v>728</v>
      </c>
      <c r="C242" s="39" t="s">
        <v>729</v>
      </c>
      <c r="D242" s="64" t="s">
        <v>730</v>
      </c>
      <c r="E242" s="64"/>
      <c r="F242" s="64"/>
      <c r="G242" s="64"/>
      <c r="H242" s="64"/>
      <c r="I242" s="64"/>
      <c r="J242" s="64"/>
      <c r="K242" s="40">
        <f>ROUND(1,2)</f>
        <v>1</v>
      </c>
      <c r="L242" s="41">
        <f>L247</f>
        <v>15.75</v>
      </c>
      <c r="M242" s="41">
        <f>ROUND(K242*L242,2)</f>
        <v>15.75</v>
      </c>
    </row>
    <row r="243" spans="1:13" ht="48.75" customHeight="1" thickBot="1" x14ac:dyDescent="0.25">
      <c r="A243" s="22"/>
      <c r="B243" s="22"/>
      <c r="C243" s="22"/>
      <c r="D243" s="63" t="s">
        <v>731</v>
      </c>
      <c r="E243" s="63"/>
      <c r="F243" s="63"/>
      <c r="G243" s="63"/>
      <c r="H243" s="63"/>
      <c r="I243" s="63"/>
      <c r="J243" s="63"/>
      <c r="K243" s="63"/>
      <c r="L243" s="63"/>
      <c r="M243" s="63"/>
    </row>
    <row r="244" spans="1:13" ht="30.4" customHeight="1" thickBot="1" x14ac:dyDescent="0.25">
      <c r="A244" s="5" t="s">
        <v>732</v>
      </c>
      <c r="B244" s="5" t="s">
        <v>733</v>
      </c>
      <c r="C244" s="5" t="s">
        <v>734</v>
      </c>
      <c r="D244" s="63" t="s">
        <v>735</v>
      </c>
      <c r="E244" s="63"/>
      <c r="F244" s="63"/>
      <c r="G244" s="63"/>
      <c r="H244" s="63"/>
      <c r="I244" s="63"/>
      <c r="J244" s="63"/>
      <c r="K244" s="20">
        <v>1</v>
      </c>
      <c r="L244" s="21">
        <f>ROUND(11.71,2)</f>
        <v>11.71</v>
      </c>
      <c r="M244" s="21">
        <f>ROUND(K244*L244,2)</f>
        <v>11.71</v>
      </c>
    </row>
    <row r="245" spans="1:13" ht="15" customHeight="1" thickBot="1" x14ac:dyDescent="0.25">
      <c r="A245" s="5" t="s">
        <v>736</v>
      </c>
      <c r="B245" s="5" t="s">
        <v>737</v>
      </c>
      <c r="C245" s="5" t="s">
        <v>738</v>
      </c>
      <c r="D245" s="63" t="s">
        <v>739</v>
      </c>
      <c r="E245" s="63"/>
      <c r="F245" s="63"/>
      <c r="G245" s="63"/>
      <c r="H245" s="63"/>
      <c r="I245" s="63"/>
      <c r="J245" s="63"/>
      <c r="K245" s="20">
        <v>6.0999999999999999E-2</v>
      </c>
      <c r="L245" s="21">
        <f>ROUND(28.99,2)</f>
        <v>28.99</v>
      </c>
      <c r="M245" s="21">
        <f>ROUND(K245*L245,2)</f>
        <v>1.77</v>
      </c>
    </row>
    <row r="246" spans="1:13" ht="15" customHeight="1" thickBot="1" x14ac:dyDescent="0.25">
      <c r="A246" s="5" t="s">
        <v>740</v>
      </c>
      <c r="B246" s="5" t="s">
        <v>741</v>
      </c>
      <c r="C246" s="5" t="s">
        <v>742</v>
      </c>
      <c r="D246" s="63" t="s">
        <v>743</v>
      </c>
      <c r="E246" s="63"/>
      <c r="F246" s="63"/>
      <c r="G246" s="63"/>
      <c r="H246" s="63"/>
      <c r="I246" s="63"/>
      <c r="J246" s="63"/>
      <c r="K246" s="20">
        <v>6.0999999999999999E-2</v>
      </c>
      <c r="L246" s="21">
        <f>ROUND(24.89,2)</f>
        <v>24.89</v>
      </c>
      <c r="M246" s="21">
        <f>ROUND(K246*L246,2)</f>
        <v>1.52</v>
      </c>
    </row>
    <row r="247" spans="1:13" ht="15.4" customHeight="1" thickBot="1" x14ac:dyDescent="0.25">
      <c r="A247" s="34"/>
      <c r="B247" s="34"/>
      <c r="C247" s="34"/>
      <c r="D247" s="35" t="s">
        <v>744</v>
      </c>
      <c r="E247" s="34"/>
      <c r="F247" s="34"/>
      <c r="G247" s="34"/>
      <c r="H247" s="34"/>
      <c r="I247" s="34"/>
      <c r="J247" s="34"/>
      <c r="K247" s="36">
        <v>1</v>
      </c>
      <c r="L247" s="37">
        <f>ROUND((M244+M245+M246)*(1+M2/100),2)</f>
        <v>15.75</v>
      </c>
      <c r="M247" s="37">
        <f>ROUND(K247*L247,2)</f>
        <v>15.75</v>
      </c>
    </row>
    <row r="248" spans="1:13" ht="21.2" customHeight="1" thickBot="1" x14ac:dyDescent="0.25">
      <c r="A248" s="38" t="s">
        <v>745</v>
      </c>
      <c r="B248" s="39" t="s">
        <v>746</v>
      </c>
      <c r="C248" s="39" t="s">
        <v>747</v>
      </c>
      <c r="D248" s="64" t="s">
        <v>748</v>
      </c>
      <c r="E248" s="64"/>
      <c r="F248" s="64"/>
      <c r="G248" s="64"/>
      <c r="H248" s="64"/>
      <c r="I248" s="64"/>
      <c r="J248" s="64"/>
      <c r="K248" s="40">
        <f>ROUND(1,2)</f>
        <v>1</v>
      </c>
      <c r="L248" s="41">
        <f>L253</f>
        <v>13.25</v>
      </c>
      <c r="M248" s="41">
        <f>ROUND(K248*L248,2)</f>
        <v>13.25</v>
      </c>
    </row>
    <row r="249" spans="1:13" ht="48.75" customHeight="1" thickBot="1" x14ac:dyDescent="0.25">
      <c r="A249" s="22"/>
      <c r="B249" s="22"/>
      <c r="C249" s="22"/>
      <c r="D249" s="63" t="s">
        <v>749</v>
      </c>
      <c r="E249" s="63"/>
      <c r="F249" s="63"/>
      <c r="G249" s="63"/>
      <c r="H249" s="63"/>
      <c r="I249" s="63"/>
      <c r="J249" s="63"/>
      <c r="K249" s="63"/>
      <c r="L249" s="63"/>
      <c r="M249" s="63"/>
    </row>
    <row r="250" spans="1:13" ht="30.4" customHeight="1" thickBot="1" x14ac:dyDescent="0.25">
      <c r="A250" s="5" t="s">
        <v>750</v>
      </c>
      <c r="B250" s="5" t="s">
        <v>751</v>
      </c>
      <c r="C250" s="5" t="s">
        <v>752</v>
      </c>
      <c r="D250" s="63" t="s">
        <v>753</v>
      </c>
      <c r="E250" s="63"/>
      <c r="F250" s="63"/>
      <c r="G250" s="63"/>
      <c r="H250" s="63"/>
      <c r="I250" s="63"/>
      <c r="J250" s="63"/>
      <c r="K250" s="20">
        <v>1</v>
      </c>
      <c r="L250" s="21">
        <f>ROUND(9.33,2)</f>
        <v>9.33</v>
      </c>
      <c r="M250" s="21">
        <f>ROUND(K250*L250,2)</f>
        <v>9.33</v>
      </c>
    </row>
    <row r="251" spans="1:13" ht="15" customHeight="1" thickBot="1" x14ac:dyDescent="0.25">
      <c r="A251" s="5" t="s">
        <v>754</v>
      </c>
      <c r="B251" s="5" t="s">
        <v>755</v>
      </c>
      <c r="C251" s="5" t="s">
        <v>756</v>
      </c>
      <c r="D251" s="63" t="s">
        <v>757</v>
      </c>
      <c r="E251" s="63"/>
      <c r="F251" s="63"/>
      <c r="G251" s="63"/>
      <c r="H251" s="63"/>
      <c r="I251" s="63"/>
      <c r="J251" s="63"/>
      <c r="K251" s="20">
        <v>6.0999999999999999E-2</v>
      </c>
      <c r="L251" s="21">
        <f>ROUND(28.99,2)</f>
        <v>28.99</v>
      </c>
      <c r="M251" s="21">
        <f>ROUND(K251*L251,2)</f>
        <v>1.77</v>
      </c>
    </row>
    <row r="252" spans="1:13" ht="15" customHeight="1" thickBot="1" x14ac:dyDescent="0.25">
      <c r="A252" s="5" t="s">
        <v>758</v>
      </c>
      <c r="B252" s="5" t="s">
        <v>759</v>
      </c>
      <c r="C252" s="5" t="s">
        <v>760</v>
      </c>
      <c r="D252" s="63" t="s">
        <v>761</v>
      </c>
      <c r="E252" s="63"/>
      <c r="F252" s="63"/>
      <c r="G252" s="63"/>
      <c r="H252" s="63"/>
      <c r="I252" s="63"/>
      <c r="J252" s="63"/>
      <c r="K252" s="20">
        <v>6.0999999999999999E-2</v>
      </c>
      <c r="L252" s="21">
        <f>ROUND(24.89,2)</f>
        <v>24.89</v>
      </c>
      <c r="M252" s="21">
        <f>ROUND(K252*L252,2)</f>
        <v>1.52</v>
      </c>
    </row>
    <row r="253" spans="1:13" ht="15.4" customHeight="1" thickBot="1" x14ac:dyDescent="0.25">
      <c r="A253" s="34"/>
      <c r="B253" s="34"/>
      <c r="C253" s="34"/>
      <c r="D253" s="35" t="s">
        <v>762</v>
      </c>
      <c r="E253" s="34"/>
      <c r="F253" s="34"/>
      <c r="G253" s="34"/>
      <c r="H253" s="34"/>
      <c r="I253" s="34"/>
      <c r="J253" s="34"/>
      <c r="K253" s="36">
        <v>1</v>
      </c>
      <c r="L253" s="37">
        <f>ROUND((M250+M251+M252)*(1+M2/100),2)</f>
        <v>13.25</v>
      </c>
      <c r="M253" s="37">
        <f>ROUND(K253*L253,2)</f>
        <v>13.25</v>
      </c>
    </row>
    <row r="254" spans="1:13" ht="21.2" customHeight="1" thickBot="1" x14ac:dyDescent="0.25">
      <c r="A254" s="38" t="s">
        <v>763</v>
      </c>
      <c r="B254" s="39" t="s">
        <v>764</v>
      </c>
      <c r="C254" s="39" t="s">
        <v>765</v>
      </c>
      <c r="D254" s="64" t="s">
        <v>766</v>
      </c>
      <c r="E254" s="64"/>
      <c r="F254" s="64"/>
      <c r="G254" s="64"/>
      <c r="H254" s="64"/>
      <c r="I254" s="64"/>
      <c r="J254" s="64"/>
      <c r="K254" s="40">
        <f>ROUND(1,2)</f>
        <v>1</v>
      </c>
      <c r="L254" s="41">
        <f>L259</f>
        <v>10.56</v>
      </c>
      <c r="M254" s="41">
        <f>ROUND(K254*L254,2)</f>
        <v>10.56</v>
      </c>
    </row>
    <row r="255" spans="1:13" ht="48.75" customHeight="1" thickBot="1" x14ac:dyDescent="0.25">
      <c r="A255" s="22"/>
      <c r="B255" s="22"/>
      <c r="C255" s="22"/>
      <c r="D255" s="63" t="s">
        <v>767</v>
      </c>
      <c r="E255" s="63"/>
      <c r="F255" s="63"/>
      <c r="G255" s="63"/>
      <c r="H255" s="63"/>
      <c r="I255" s="63"/>
      <c r="J255" s="63"/>
      <c r="K255" s="63"/>
      <c r="L255" s="63"/>
      <c r="M255" s="63"/>
    </row>
    <row r="256" spans="1:13" ht="30.4" customHeight="1" thickBot="1" x14ac:dyDescent="0.25">
      <c r="A256" s="5" t="s">
        <v>768</v>
      </c>
      <c r="B256" s="5" t="s">
        <v>769</v>
      </c>
      <c r="C256" s="5" t="s">
        <v>770</v>
      </c>
      <c r="D256" s="63" t="s">
        <v>771</v>
      </c>
      <c r="E256" s="63"/>
      <c r="F256" s="63"/>
      <c r="G256" s="63"/>
      <c r="H256" s="63"/>
      <c r="I256" s="63"/>
      <c r="J256" s="63"/>
      <c r="K256" s="20">
        <v>1</v>
      </c>
      <c r="L256" s="21">
        <f>ROUND(7.42,2)</f>
        <v>7.42</v>
      </c>
      <c r="M256" s="21">
        <f>ROUND(K256*L256,2)</f>
        <v>7.42</v>
      </c>
    </row>
    <row r="257" spans="1:13" ht="15" customHeight="1" thickBot="1" x14ac:dyDescent="0.25">
      <c r="A257" s="5" t="s">
        <v>772</v>
      </c>
      <c r="B257" s="5" t="s">
        <v>773</v>
      </c>
      <c r="C257" s="5" t="s">
        <v>774</v>
      </c>
      <c r="D257" s="63" t="s">
        <v>775</v>
      </c>
      <c r="E257" s="63"/>
      <c r="F257" s="63"/>
      <c r="G257" s="63"/>
      <c r="H257" s="63"/>
      <c r="I257" s="63"/>
      <c r="J257" s="63"/>
      <c r="K257" s="20">
        <v>4.9000000000000002E-2</v>
      </c>
      <c r="L257" s="21">
        <f>ROUND(28.99,2)</f>
        <v>28.99</v>
      </c>
      <c r="M257" s="21">
        <f>ROUND(K257*L257,2)</f>
        <v>1.42</v>
      </c>
    </row>
    <row r="258" spans="1:13" ht="15" customHeight="1" thickBot="1" x14ac:dyDescent="0.25">
      <c r="A258" s="5" t="s">
        <v>776</v>
      </c>
      <c r="B258" s="5" t="s">
        <v>777</v>
      </c>
      <c r="C258" s="5" t="s">
        <v>778</v>
      </c>
      <c r="D258" s="63" t="s">
        <v>779</v>
      </c>
      <c r="E258" s="63"/>
      <c r="F258" s="63"/>
      <c r="G258" s="63"/>
      <c r="H258" s="63"/>
      <c r="I258" s="63"/>
      <c r="J258" s="63"/>
      <c r="K258" s="20">
        <v>4.9000000000000002E-2</v>
      </c>
      <c r="L258" s="21">
        <f>ROUND(24.89,2)</f>
        <v>24.89</v>
      </c>
      <c r="M258" s="21">
        <f>ROUND(K258*L258,2)</f>
        <v>1.22</v>
      </c>
    </row>
    <row r="259" spans="1:13" ht="15.4" customHeight="1" thickBot="1" x14ac:dyDescent="0.25">
      <c r="A259" s="34"/>
      <c r="B259" s="34"/>
      <c r="C259" s="34"/>
      <c r="D259" s="35" t="s">
        <v>780</v>
      </c>
      <c r="E259" s="34"/>
      <c r="F259" s="34"/>
      <c r="G259" s="34"/>
      <c r="H259" s="34"/>
      <c r="I259" s="34"/>
      <c r="J259" s="34"/>
      <c r="K259" s="36">
        <v>1</v>
      </c>
      <c r="L259" s="37">
        <f>ROUND((M256+M257+M258)*(1+M2/100),2)</f>
        <v>10.56</v>
      </c>
      <c r="M259" s="37">
        <f>ROUND(K259*L259,2)</f>
        <v>10.56</v>
      </c>
    </row>
    <row r="260" spans="1:13" ht="21.2" customHeight="1" thickBot="1" x14ac:dyDescent="0.25">
      <c r="A260" s="38" t="s">
        <v>781</v>
      </c>
      <c r="B260" s="39" t="s">
        <v>782</v>
      </c>
      <c r="C260" s="39" t="s">
        <v>783</v>
      </c>
      <c r="D260" s="64" t="s">
        <v>784</v>
      </c>
      <c r="E260" s="64"/>
      <c r="F260" s="64"/>
      <c r="G260" s="64"/>
      <c r="H260" s="64"/>
      <c r="I260" s="64"/>
      <c r="J260" s="64"/>
      <c r="K260" s="40">
        <f>ROUND(1,2)</f>
        <v>1</v>
      </c>
      <c r="L260" s="41">
        <f>L265</f>
        <v>9.1199999999999992</v>
      </c>
      <c r="M260" s="41">
        <f>ROUND(K260*L260,2)</f>
        <v>9.1199999999999992</v>
      </c>
    </row>
    <row r="261" spans="1:13" ht="48.75" customHeight="1" thickBot="1" x14ac:dyDescent="0.25">
      <c r="A261" s="22"/>
      <c r="B261" s="22"/>
      <c r="C261" s="22"/>
      <c r="D261" s="63" t="s">
        <v>785</v>
      </c>
      <c r="E261" s="63"/>
      <c r="F261" s="63"/>
      <c r="G261" s="63"/>
      <c r="H261" s="63"/>
      <c r="I261" s="63"/>
      <c r="J261" s="63"/>
      <c r="K261" s="63"/>
      <c r="L261" s="63"/>
      <c r="M261" s="63"/>
    </row>
    <row r="262" spans="1:13" ht="30.4" customHeight="1" thickBot="1" x14ac:dyDescent="0.25">
      <c r="A262" s="5" t="s">
        <v>786</v>
      </c>
      <c r="B262" s="5" t="s">
        <v>787</v>
      </c>
      <c r="C262" s="5" t="s">
        <v>788</v>
      </c>
      <c r="D262" s="63" t="s">
        <v>789</v>
      </c>
      <c r="E262" s="63"/>
      <c r="F262" s="63"/>
      <c r="G262" s="63"/>
      <c r="H262" s="63"/>
      <c r="I262" s="63"/>
      <c r="J262" s="63"/>
      <c r="K262" s="20">
        <v>1</v>
      </c>
      <c r="L262" s="21">
        <f>ROUND(6.05,2)</f>
        <v>6.05</v>
      </c>
      <c r="M262" s="21">
        <f>ROUND(K262*L262,2)</f>
        <v>6.05</v>
      </c>
    </row>
    <row r="263" spans="1:13" ht="15" customHeight="1" thickBot="1" x14ac:dyDescent="0.25">
      <c r="A263" s="5" t="s">
        <v>790</v>
      </c>
      <c r="B263" s="5" t="s">
        <v>791</v>
      </c>
      <c r="C263" s="5" t="s">
        <v>792</v>
      </c>
      <c r="D263" s="63" t="s">
        <v>793</v>
      </c>
      <c r="E263" s="63"/>
      <c r="F263" s="63"/>
      <c r="G263" s="63"/>
      <c r="H263" s="63"/>
      <c r="I263" s="63"/>
      <c r="J263" s="63"/>
      <c r="K263" s="20">
        <v>4.9000000000000002E-2</v>
      </c>
      <c r="L263" s="21">
        <f>ROUND(28.99,2)</f>
        <v>28.99</v>
      </c>
      <c r="M263" s="21">
        <f>ROUND(K263*L263,2)</f>
        <v>1.42</v>
      </c>
    </row>
    <row r="264" spans="1:13" ht="15" customHeight="1" thickBot="1" x14ac:dyDescent="0.25">
      <c r="A264" s="5" t="s">
        <v>794</v>
      </c>
      <c r="B264" s="5" t="s">
        <v>795</v>
      </c>
      <c r="C264" s="5" t="s">
        <v>796</v>
      </c>
      <c r="D264" s="63" t="s">
        <v>797</v>
      </c>
      <c r="E264" s="63"/>
      <c r="F264" s="63"/>
      <c r="G264" s="63"/>
      <c r="H264" s="63"/>
      <c r="I264" s="63"/>
      <c r="J264" s="63"/>
      <c r="K264" s="20">
        <v>4.9000000000000002E-2</v>
      </c>
      <c r="L264" s="21">
        <f>ROUND(24.89,2)</f>
        <v>24.89</v>
      </c>
      <c r="M264" s="21">
        <f>ROUND(K264*L264,2)</f>
        <v>1.22</v>
      </c>
    </row>
    <row r="265" spans="1:13" ht="15.4" customHeight="1" thickBot="1" x14ac:dyDescent="0.25">
      <c r="A265" s="34"/>
      <c r="B265" s="34"/>
      <c r="C265" s="34"/>
      <c r="D265" s="35" t="s">
        <v>798</v>
      </c>
      <c r="E265" s="34"/>
      <c r="F265" s="34"/>
      <c r="G265" s="34"/>
      <c r="H265" s="34"/>
      <c r="I265" s="34"/>
      <c r="J265" s="34"/>
      <c r="K265" s="36">
        <v>1</v>
      </c>
      <c r="L265" s="37">
        <f>ROUND((M262+M263+M264)*(1+M2/100),2)</f>
        <v>9.1199999999999992</v>
      </c>
      <c r="M265" s="37">
        <f>ROUND(K265*L265,2)</f>
        <v>9.1199999999999992</v>
      </c>
    </row>
    <row r="266" spans="1:13" ht="21.2" customHeight="1" thickBot="1" x14ac:dyDescent="0.25">
      <c r="A266" s="38" t="s">
        <v>799</v>
      </c>
      <c r="B266" s="39" t="s">
        <v>800</v>
      </c>
      <c r="C266" s="39" t="s">
        <v>801</v>
      </c>
      <c r="D266" s="64" t="s">
        <v>802</v>
      </c>
      <c r="E266" s="64"/>
      <c r="F266" s="64"/>
      <c r="G266" s="64"/>
      <c r="H266" s="64"/>
      <c r="I266" s="64"/>
      <c r="J266" s="64"/>
      <c r="K266" s="40">
        <f>ROUND(1,2)</f>
        <v>1</v>
      </c>
      <c r="L266" s="41">
        <f>L271</f>
        <v>7.46</v>
      </c>
      <c r="M266" s="41">
        <f>ROUND(K266*L266,2)</f>
        <v>7.46</v>
      </c>
    </row>
    <row r="267" spans="1:13" ht="48.75" customHeight="1" thickBot="1" x14ac:dyDescent="0.25">
      <c r="A267" s="22"/>
      <c r="B267" s="22"/>
      <c r="C267" s="22"/>
      <c r="D267" s="63" t="s">
        <v>803</v>
      </c>
      <c r="E267" s="63"/>
      <c r="F267" s="63"/>
      <c r="G267" s="63"/>
      <c r="H267" s="63"/>
      <c r="I267" s="63"/>
      <c r="J267" s="63"/>
      <c r="K267" s="63"/>
      <c r="L267" s="63"/>
      <c r="M267" s="63"/>
    </row>
    <row r="268" spans="1:13" ht="30.4" customHeight="1" thickBot="1" x14ac:dyDescent="0.25">
      <c r="A268" s="5" t="s">
        <v>804</v>
      </c>
      <c r="B268" s="5" t="s">
        <v>805</v>
      </c>
      <c r="C268" s="5" t="s">
        <v>806</v>
      </c>
      <c r="D268" s="63" t="s">
        <v>807</v>
      </c>
      <c r="E268" s="63"/>
      <c r="F268" s="63"/>
      <c r="G268" s="63"/>
      <c r="H268" s="63"/>
      <c r="I268" s="63"/>
      <c r="J268" s="63"/>
      <c r="K268" s="20">
        <v>1</v>
      </c>
      <c r="L268" s="21">
        <f>ROUND(4.46,2)</f>
        <v>4.46</v>
      </c>
      <c r="M268" s="21">
        <f>ROUND(K268*L268,2)</f>
        <v>4.46</v>
      </c>
    </row>
    <row r="269" spans="1:13" ht="15" customHeight="1" thickBot="1" x14ac:dyDescent="0.25">
      <c r="A269" s="5" t="s">
        <v>808</v>
      </c>
      <c r="B269" s="5" t="s">
        <v>809</v>
      </c>
      <c r="C269" s="5" t="s">
        <v>810</v>
      </c>
      <c r="D269" s="63" t="s">
        <v>811</v>
      </c>
      <c r="E269" s="63"/>
      <c r="F269" s="63"/>
      <c r="G269" s="63"/>
      <c r="H269" s="63"/>
      <c r="I269" s="63"/>
      <c r="J269" s="63"/>
      <c r="K269" s="20">
        <v>4.9000000000000002E-2</v>
      </c>
      <c r="L269" s="21">
        <f>ROUND(28.99,2)</f>
        <v>28.99</v>
      </c>
      <c r="M269" s="21">
        <f>ROUND(K269*L269,2)</f>
        <v>1.42</v>
      </c>
    </row>
    <row r="270" spans="1:13" ht="15" customHeight="1" thickBot="1" x14ac:dyDescent="0.25">
      <c r="A270" s="5" t="s">
        <v>812</v>
      </c>
      <c r="B270" s="5" t="s">
        <v>813</v>
      </c>
      <c r="C270" s="5" t="s">
        <v>814</v>
      </c>
      <c r="D270" s="63" t="s">
        <v>815</v>
      </c>
      <c r="E270" s="63"/>
      <c r="F270" s="63"/>
      <c r="G270" s="63"/>
      <c r="H270" s="63"/>
      <c r="I270" s="63"/>
      <c r="J270" s="63"/>
      <c r="K270" s="20">
        <v>4.9000000000000002E-2</v>
      </c>
      <c r="L270" s="21">
        <f>ROUND(24.89,2)</f>
        <v>24.89</v>
      </c>
      <c r="M270" s="21">
        <f>ROUND(K270*L270,2)</f>
        <v>1.22</v>
      </c>
    </row>
    <row r="271" spans="1:13" ht="15.4" customHeight="1" thickBot="1" x14ac:dyDescent="0.25">
      <c r="A271" s="34"/>
      <c r="B271" s="34"/>
      <c r="C271" s="34"/>
      <c r="D271" s="35" t="s">
        <v>816</v>
      </c>
      <c r="E271" s="34"/>
      <c r="F271" s="34"/>
      <c r="G271" s="34"/>
      <c r="H271" s="34"/>
      <c r="I271" s="34"/>
      <c r="J271" s="34"/>
      <c r="K271" s="36">
        <v>1</v>
      </c>
      <c r="L271" s="37">
        <f>ROUND((M268+M269+M270)*(1+M2/100),2)</f>
        <v>7.46</v>
      </c>
      <c r="M271" s="37">
        <f>ROUND(K271*L271,2)</f>
        <v>7.46</v>
      </c>
    </row>
    <row r="272" spans="1:13" ht="21.2" customHeight="1" thickBot="1" x14ac:dyDescent="0.25">
      <c r="A272" s="38" t="s">
        <v>817</v>
      </c>
      <c r="B272" s="39" t="s">
        <v>818</v>
      </c>
      <c r="C272" s="39" t="s">
        <v>819</v>
      </c>
      <c r="D272" s="64" t="s">
        <v>820</v>
      </c>
      <c r="E272" s="64"/>
      <c r="F272" s="64"/>
      <c r="G272" s="64"/>
      <c r="H272" s="64"/>
      <c r="I272" s="64"/>
      <c r="J272" s="64"/>
      <c r="K272" s="40">
        <f>SUM(K275:K275)</f>
        <v>325.2</v>
      </c>
      <c r="L272" s="41">
        <f>L279</f>
        <v>6.52</v>
      </c>
      <c r="M272" s="41">
        <f>ROUND(K272*L272,2)</f>
        <v>2120.3000000000002</v>
      </c>
    </row>
    <row r="273" spans="1:13" ht="48.75" customHeight="1" thickBot="1" x14ac:dyDescent="0.25">
      <c r="A273" s="22"/>
      <c r="B273" s="22"/>
      <c r="C273" s="22"/>
      <c r="D273" s="63" t="s">
        <v>821</v>
      </c>
      <c r="E273" s="63"/>
      <c r="F273" s="63"/>
      <c r="G273" s="63"/>
      <c r="H273" s="63"/>
      <c r="I273" s="63"/>
      <c r="J273" s="63"/>
      <c r="K273" s="63"/>
      <c r="L273" s="63"/>
      <c r="M273" s="63"/>
    </row>
    <row r="274" spans="1:13" ht="15" customHeight="1" thickBot="1" x14ac:dyDescent="0.25">
      <c r="A274" s="22"/>
      <c r="B274" s="22"/>
      <c r="C274" s="22"/>
      <c r="D274" s="22"/>
      <c r="E274" s="23"/>
      <c r="F274" s="25" t="s">
        <v>822</v>
      </c>
      <c r="G274" s="25" t="s">
        <v>823</v>
      </c>
      <c r="H274" s="25" t="s">
        <v>824</v>
      </c>
      <c r="I274" s="25" t="s">
        <v>825</v>
      </c>
      <c r="J274" s="25" t="s">
        <v>826</v>
      </c>
      <c r="K274" s="25" t="s">
        <v>827</v>
      </c>
      <c r="L274" s="22"/>
      <c r="M274" s="22"/>
    </row>
    <row r="275" spans="1:13" ht="15" customHeight="1" thickBot="1" x14ac:dyDescent="0.25">
      <c r="A275" s="22"/>
      <c r="B275" s="22"/>
      <c r="C275" s="22"/>
      <c r="D275" s="26"/>
      <c r="E275" s="27" t="s">
        <v>828</v>
      </c>
      <c r="F275" s="28">
        <v>271</v>
      </c>
      <c r="G275" s="29">
        <v>1.2</v>
      </c>
      <c r="H275" s="29"/>
      <c r="I275" s="29"/>
      <c r="J275" s="31">
        <f>ROUND(F275*G275,3)</f>
        <v>325.2</v>
      </c>
      <c r="K275" s="33">
        <f>SUM(J275:J275)</f>
        <v>325.2</v>
      </c>
      <c r="L275" s="22"/>
      <c r="M275" s="22"/>
    </row>
    <row r="276" spans="1:13" ht="30.4" customHeight="1" thickBot="1" x14ac:dyDescent="0.25">
      <c r="A276" s="5" t="s">
        <v>829</v>
      </c>
      <c r="B276" s="5" t="s">
        <v>830</v>
      </c>
      <c r="C276" s="5" t="s">
        <v>831</v>
      </c>
      <c r="D276" s="63" t="s">
        <v>832</v>
      </c>
      <c r="E276" s="63"/>
      <c r="F276" s="63"/>
      <c r="G276" s="63"/>
      <c r="H276" s="63"/>
      <c r="I276" s="63"/>
      <c r="J276" s="63"/>
      <c r="K276" s="20">
        <v>1</v>
      </c>
      <c r="L276" s="21">
        <f>ROUND(3.57,2)</f>
        <v>3.57</v>
      </c>
      <c r="M276" s="21">
        <f>ROUND(K276*L276,2)</f>
        <v>3.57</v>
      </c>
    </row>
    <row r="277" spans="1:13" ht="15" customHeight="1" thickBot="1" x14ac:dyDescent="0.25">
      <c r="A277" s="5" t="s">
        <v>833</v>
      </c>
      <c r="B277" s="5" t="s">
        <v>834</v>
      </c>
      <c r="C277" s="5" t="s">
        <v>835</v>
      </c>
      <c r="D277" s="63" t="s">
        <v>836</v>
      </c>
      <c r="E277" s="63"/>
      <c r="F277" s="63"/>
      <c r="G277" s="63"/>
      <c r="H277" s="63"/>
      <c r="I277" s="63"/>
      <c r="J277" s="63"/>
      <c r="K277" s="20">
        <v>4.9000000000000002E-2</v>
      </c>
      <c r="L277" s="21">
        <f>ROUND(28.99,2)</f>
        <v>28.99</v>
      </c>
      <c r="M277" s="21">
        <f>ROUND(K277*L277,2)</f>
        <v>1.42</v>
      </c>
    </row>
    <row r="278" spans="1:13" ht="15" customHeight="1" thickBot="1" x14ac:dyDescent="0.25">
      <c r="A278" s="5" t="s">
        <v>837</v>
      </c>
      <c r="B278" s="5" t="s">
        <v>838</v>
      </c>
      <c r="C278" s="5" t="s">
        <v>839</v>
      </c>
      <c r="D278" s="63" t="s">
        <v>840</v>
      </c>
      <c r="E278" s="63"/>
      <c r="F278" s="63"/>
      <c r="G278" s="63"/>
      <c r="H278" s="63"/>
      <c r="I278" s="63"/>
      <c r="J278" s="63"/>
      <c r="K278" s="20">
        <v>4.9000000000000002E-2</v>
      </c>
      <c r="L278" s="21">
        <f>ROUND(24.89,2)</f>
        <v>24.89</v>
      </c>
      <c r="M278" s="21">
        <f>ROUND(K278*L278,2)</f>
        <v>1.22</v>
      </c>
    </row>
    <row r="279" spans="1:13" ht="15.4" customHeight="1" thickBot="1" x14ac:dyDescent="0.25">
      <c r="A279" s="34"/>
      <c r="B279" s="34"/>
      <c r="C279" s="34"/>
      <c r="D279" s="35" t="s">
        <v>841</v>
      </c>
      <c r="E279" s="34"/>
      <c r="F279" s="34"/>
      <c r="G279" s="34"/>
      <c r="H279" s="34"/>
      <c r="I279" s="34"/>
      <c r="J279" s="34"/>
      <c r="K279" s="36">
        <v>325.2</v>
      </c>
      <c r="L279" s="37">
        <f>ROUND((M276+M277+M278)*(1+M2/100),2)</f>
        <v>6.52</v>
      </c>
      <c r="M279" s="37">
        <f>ROUND(K279*L279,2)</f>
        <v>2120.3000000000002</v>
      </c>
    </row>
    <row r="280" spans="1:13" ht="15.4" customHeight="1" thickBot="1" x14ac:dyDescent="0.25">
      <c r="A280" s="43"/>
      <c r="B280" s="43"/>
      <c r="C280" s="43"/>
      <c r="D280" s="44" t="s">
        <v>842</v>
      </c>
      <c r="E280" s="45"/>
      <c r="F280" s="45"/>
      <c r="G280" s="45"/>
      <c r="H280" s="45"/>
      <c r="I280" s="45"/>
      <c r="J280" s="45"/>
      <c r="K280" s="45"/>
      <c r="L280" s="46">
        <f>M191+M193+M202+M218+M227+M236+M242+M248+M254+M260+M266+M272</f>
        <v>6727.55</v>
      </c>
      <c r="M280" s="46">
        <f>ROUND(L280,2)</f>
        <v>6727.55</v>
      </c>
    </row>
    <row r="281" spans="1:13" ht="15.4" customHeight="1" thickBot="1" x14ac:dyDescent="0.25">
      <c r="A281" s="47" t="s">
        <v>843</v>
      </c>
      <c r="B281" s="47" t="s">
        <v>844</v>
      </c>
      <c r="C281" s="48"/>
      <c r="D281" s="65" t="s">
        <v>845</v>
      </c>
      <c r="E281" s="65"/>
      <c r="F281" s="65"/>
      <c r="G281" s="65"/>
      <c r="H281" s="65"/>
      <c r="I281" s="65"/>
      <c r="J281" s="65"/>
      <c r="K281" s="48"/>
      <c r="L281" s="49">
        <f>L302</f>
        <v>7790.75</v>
      </c>
      <c r="M281" s="49">
        <f>ROUND(L281,2)</f>
        <v>7790.75</v>
      </c>
    </row>
    <row r="282" spans="1:13" ht="21.2" customHeight="1" thickBot="1" x14ac:dyDescent="0.25">
      <c r="A282" s="10" t="s">
        <v>846</v>
      </c>
      <c r="B282" s="5" t="s">
        <v>847</v>
      </c>
      <c r="C282" s="5" t="s">
        <v>848</v>
      </c>
      <c r="D282" s="63" t="s">
        <v>849</v>
      </c>
      <c r="E282" s="63"/>
      <c r="F282" s="63"/>
      <c r="G282" s="63"/>
      <c r="H282" s="63"/>
      <c r="I282" s="63"/>
      <c r="J282" s="63"/>
      <c r="K282" s="20">
        <f>ROUND(1,2)</f>
        <v>1</v>
      </c>
      <c r="L282" s="21">
        <f>L288</f>
        <v>492.8</v>
      </c>
      <c r="M282" s="21">
        <f>ROUND(K282*L282,2)</f>
        <v>492.8</v>
      </c>
    </row>
    <row r="283" spans="1:13" ht="21.2" customHeight="1" thickBot="1" x14ac:dyDescent="0.25">
      <c r="A283" s="22"/>
      <c r="B283" s="22"/>
      <c r="C283" s="22"/>
      <c r="D283" s="63" t="s">
        <v>850</v>
      </c>
      <c r="E283" s="63"/>
      <c r="F283" s="63"/>
      <c r="G283" s="63"/>
      <c r="H283" s="63"/>
      <c r="I283" s="63"/>
      <c r="J283" s="63"/>
      <c r="K283" s="63"/>
      <c r="L283" s="63"/>
      <c r="M283" s="63"/>
    </row>
    <row r="284" spans="1:13" ht="24.2" customHeight="1" thickBot="1" x14ac:dyDescent="0.25">
      <c r="A284" s="5" t="s">
        <v>851</v>
      </c>
      <c r="B284" s="5" t="s">
        <v>852</v>
      </c>
      <c r="C284" s="5" t="s">
        <v>853</v>
      </c>
      <c r="D284" s="63" t="s">
        <v>854</v>
      </c>
      <c r="E284" s="63"/>
      <c r="F284" s="63"/>
      <c r="G284" s="63"/>
      <c r="H284" s="63"/>
      <c r="I284" s="63"/>
      <c r="J284" s="63"/>
      <c r="K284" s="20">
        <v>1</v>
      </c>
      <c r="L284" s="21">
        <f>ROUND(402,2)</f>
        <v>402</v>
      </c>
      <c r="M284" s="21">
        <f t="shared" ref="M284:M289" si="9">ROUND(K284*L284,2)</f>
        <v>402</v>
      </c>
    </row>
    <row r="285" spans="1:13" ht="15" customHeight="1" thickBot="1" x14ac:dyDescent="0.25">
      <c r="A285" s="5" t="s">
        <v>855</v>
      </c>
      <c r="B285" s="5" t="s">
        <v>856</v>
      </c>
      <c r="C285" s="5" t="s">
        <v>857</v>
      </c>
      <c r="D285" s="63" t="s">
        <v>858</v>
      </c>
      <c r="E285" s="63"/>
      <c r="F285" s="63"/>
      <c r="G285" s="63"/>
      <c r="H285" s="63"/>
      <c r="I285" s="63"/>
      <c r="J285" s="63"/>
      <c r="K285" s="20">
        <v>0.75</v>
      </c>
      <c r="L285" s="21">
        <f>ROUND(28.99,2)</f>
        <v>28.99</v>
      </c>
      <c r="M285" s="21">
        <f t="shared" si="9"/>
        <v>21.74</v>
      </c>
    </row>
    <row r="286" spans="1:13" ht="15" customHeight="1" thickBot="1" x14ac:dyDescent="0.25">
      <c r="A286" s="5" t="s">
        <v>859</v>
      </c>
      <c r="B286" s="5" t="s">
        <v>860</v>
      </c>
      <c r="C286" s="5" t="s">
        <v>861</v>
      </c>
      <c r="D286" s="63" t="s">
        <v>862</v>
      </c>
      <c r="E286" s="63"/>
      <c r="F286" s="63"/>
      <c r="G286" s="63"/>
      <c r="H286" s="63"/>
      <c r="I286" s="63"/>
      <c r="J286" s="63"/>
      <c r="K286" s="20">
        <v>0.75</v>
      </c>
      <c r="L286" s="21">
        <f>ROUND(24.89,2)</f>
        <v>24.89</v>
      </c>
      <c r="M286" s="21">
        <f t="shared" si="9"/>
        <v>18.670000000000002</v>
      </c>
    </row>
    <row r="287" spans="1:13" ht="15" customHeight="1" thickBot="1" x14ac:dyDescent="0.25">
      <c r="A287" s="5" t="s">
        <v>863</v>
      </c>
      <c r="B287" s="5" t="s">
        <v>864</v>
      </c>
      <c r="C287" s="5" t="s">
        <v>865</v>
      </c>
      <c r="D287" s="63" t="s">
        <v>866</v>
      </c>
      <c r="E287" s="63"/>
      <c r="F287" s="63"/>
      <c r="G287" s="63"/>
      <c r="H287" s="63"/>
      <c r="I287" s="63"/>
      <c r="J287" s="63"/>
      <c r="K287" s="20">
        <v>0.75</v>
      </c>
      <c r="L287" s="21">
        <f>ROUND(35.89,2)</f>
        <v>35.89</v>
      </c>
      <c r="M287" s="21">
        <f t="shared" si="9"/>
        <v>26.92</v>
      </c>
    </row>
    <row r="288" spans="1:13" ht="15.4" customHeight="1" thickBot="1" x14ac:dyDescent="0.25">
      <c r="A288" s="34"/>
      <c r="B288" s="34"/>
      <c r="C288" s="34"/>
      <c r="D288" s="35" t="s">
        <v>867</v>
      </c>
      <c r="E288" s="34"/>
      <c r="F288" s="34"/>
      <c r="G288" s="34"/>
      <c r="H288" s="34"/>
      <c r="I288" s="34"/>
      <c r="J288" s="34"/>
      <c r="K288" s="36">
        <v>1</v>
      </c>
      <c r="L288" s="37">
        <f>ROUND((M284+M285+M286+M287)*(1+M2/100),2)</f>
        <v>492.8</v>
      </c>
      <c r="M288" s="37">
        <f t="shared" si="9"/>
        <v>492.8</v>
      </c>
    </row>
    <row r="289" spans="1:13" ht="30.4" customHeight="1" thickBot="1" x14ac:dyDescent="0.25">
      <c r="A289" s="38" t="s">
        <v>868</v>
      </c>
      <c r="B289" s="39" t="s">
        <v>869</v>
      </c>
      <c r="C289" s="39" t="s">
        <v>870</v>
      </c>
      <c r="D289" s="64" t="s">
        <v>871</v>
      </c>
      <c r="E289" s="64"/>
      <c r="F289" s="64"/>
      <c r="G289" s="64"/>
      <c r="H289" s="64"/>
      <c r="I289" s="64"/>
      <c r="J289" s="64"/>
      <c r="K289" s="40">
        <f>SUM(K292:K292)</f>
        <v>11</v>
      </c>
      <c r="L289" s="41">
        <f>L299</f>
        <v>638.04999999999995</v>
      </c>
      <c r="M289" s="41">
        <f t="shared" si="9"/>
        <v>7018.55</v>
      </c>
    </row>
    <row r="290" spans="1:13" ht="21.2" customHeight="1" thickBot="1" x14ac:dyDescent="0.25">
      <c r="A290" s="22"/>
      <c r="B290" s="22"/>
      <c r="C290" s="22"/>
      <c r="D290" s="63" t="s">
        <v>872</v>
      </c>
      <c r="E290" s="63"/>
      <c r="F290" s="63"/>
      <c r="G290" s="63"/>
      <c r="H290" s="63"/>
      <c r="I290" s="63"/>
      <c r="J290" s="63"/>
      <c r="K290" s="63"/>
      <c r="L290" s="63"/>
      <c r="M290" s="63"/>
    </row>
    <row r="291" spans="1:13" ht="15" customHeight="1" thickBot="1" x14ac:dyDescent="0.25">
      <c r="A291" s="22"/>
      <c r="B291" s="22"/>
      <c r="C291" s="22"/>
      <c r="D291" s="22"/>
      <c r="E291" s="23"/>
      <c r="F291" s="25" t="s">
        <v>873</v>
      </c>
      <c r="G291" s="25" t="s">
        <v>874</v>
      </c>
      <c r="H291" s="25" t="s">
        <v>875</v>
      </c>
      <c r="I291" s="25" t="s">
        <v>876</v>
      </c>
      <c r="J291" s="25" t="s">
        <v>877</v>
      </c>
      <c r="K291" s="25" t="s">
        <v>878</v>
      </c>
      <c r="L291" s="22"/>
      <c r="M291" s="22"/>
    </row>
    <row r="292" spans="1:13" ht="15" customHeight="1" thickBot="1" x14ac:dyDescent="0.25">
      <c r="A292" s="22"/>
      <c r="B292" s="22"/>
      <c r="C292" s="22"/>
      <c r="D292" s="26"/>
      <c r="E292" s="27" t="s">
        <v>879</v>
      </c>
      <c r="F292" s="28">
        <v>11</v>
      </c>
      <c r="G292" s="29"/>
      <c r="H292" s="29"/>
      <c r="I292" s="29"/>
      <c r="J292" s="31">
        <f>ROUND(F292,3)</f>
        <v>11</v>
      </c>
      <c r="K292" s="33">
        <f>SUM(J292:J292)</f>
        <v>11</v>
      </c>
      <c r="L292" s="22"/>
      <c r="M292" s="22"/>
    </row>
    <row r="293" spans="1:13" ht="24.2" customHeight="1" thickBot="1" x14ac:dyDescent="0.25">
      <c r="A293" s="5" t="s">
        <v>880</v>
      </c>
      <c r="B293" s="5" t="s">
        <v>881</v>
      </c>
      <c r="C293" s="5" t="s">
        <v>882</v>
      </c>
      <c r="D293" s="63" t="s">
        <v>883</v>
      </c>
      <c r="E293" s="63"/>
      <c r="F293" s="63"/>
      <c r="G293" s="63"/>
      <c r="H293" s="63"/>
      <c r="I293" s="63"/>
      <c r="J293" s="63"/>
      <c r="K293" s="20">
        <v>1</v>
      </c>
      <c r="L293" s="21">
        <f>ROUND(510,2)</f>
        <v>510</v>
      </c>
      <c r="M293" s="21">
        <f t="shared" ref="M293:M300" si="10">ROUND(K293*L293,2)</f>
        <v>510</v>
      </c>
    </row>
    <row r="294" spans="1:13" ht="15" customHeight="1" thickBot="1" x14ac:dyDescent="0.25">
      <c r="A294" s="5" t="s">
        <v>884</v>
      </c>
      <c r="B294" s="5" t="s">
        <v>885</v>
      </c>
      <c r="C294" s="5" t="s">
        <v>886</v>
      </c>
      <c r="D294" s="63" t="s">
        <v>887</v>
      </c>
      <c r="E294" s="63"/>
      <c r="F294" s="63"/>
      <c r="G294" s="63"/>
      <c r="H294" s="63"/>
      <c r="I294" s="63"/>
      <c r="J294" s="63"/>
      <c r="K294" s="20">
        <v>0.63</v>
      </c>
      <c r="L294" s="21">
        <f>ROUND(28.99,2)</f>
        <v>28.99</v>
      </c>
      <c r="M294" s="21">
        <f t="shared" si="10"/>
        <v>18.260000000000002</v>
      </c>
    </row>
    <row r="295" spans="1:13" ht="15" customHeight="1" thickBot="1" x14ac:dyDescent="0.25">
      <c r="A295" s="5" t="s">
        <v>888</v>
      </c>
      <c r="B295" s="5" t="s">
        <v>889</v>
      </c>
      <c r="C295" s="5" t="s">
        <v>890</v>
      </c>
      <c r="D295" s="63" t="s">
        <v>891</v>
      </c>
      <c r="E295" s="63"/>
      <c r="F295" s="63"/>
      <c r="G295" s="63"/>
      <c r="H295" s="63"/>
      <c r="I295" s="63"/>
      <c r="J295" s="63"/>
      <c r="K295" s="20">
        <v>0.63</v>
      </c>
      <c r="L295" s="21">
        <f>ROUND(24.89,2)</f>
        <v>24.89</v>
      </c>
      <c r="M295" s="21">
        <f t="shared" si="10"/>
        <v>15.68</v>
      </c>
    </row>
    <row r="296" spans="1:13" ht="15" customHeight="1" thickBot="1" x14ac:dyDescent="0.25">
      <c r="A296" s="5" t="s">
        <v>892</v>
      </c>
      <c r="B296" s="5" t="s">
        <v>893</v>
      </c>
      <c r="C296" s="5" t="s">
        <v>894</v>
      </c>
      <c r="D296" s="63" t="s">
        <v>895</v>
      </c>
      <c r="E296" s="63"/>
      <c r="F296" s="63"/>
      <c r="G296" s="63"/>
      <c r="H296" s="63"/>
      <c r="I296" s="63"/>
      <c r="J296" s="63"/>
      <c r="K296" s="20">
        <v>0.63</v>
      </c>
      <c r="L296" s="21">
        <f>ROUND(45.18,2)</f>
        <v>45.18</v>
      </c>
      <c r="M296" s="21">
        <f t="shared" si="10"/>
        <v>28.46</v>
      </c>
    </row>
    <row r="297" spans="1:13" ht="15" customHeight="1" thickBot="1" x14ac:dyDescent="0.25">
      <c r="A297" s="5" t="s">
        <v>896</v>
      </c>
      <c r="B297" s="5" t="s">
        <v>897</v>
      </c>
      <c r="C297" s="5" t="s">
        <v>898</v>
      </c>
      <c r="D297" s="63" t="s">
        <v>899</v>
      </c>
      <c r="E297" s="63"/>
      <c r="F297" s="63"/>
      <c r="G297" s="63"/>
      <c r="H297" s="63"/>
      <c r="I297" s="63"/>
      <c r="J297" s="63"/>
      <c r="K297" s="20">
        <v>1</v>
      </c>
      <c r="L297" s="21">
        <f>ROUND(6.88,2)</f>
        <v>6.88</v>
      </c>
      <c r="M297" s="21">
        <f t="shared" si="10"/>
        <v>6.88</v>
      </c>
    </row>
    <row r="298" spans="1:13" ht="15" customHeight="1" thickBot="1" x14ac:dyDescent="0.25">
      <c r="A298" s="5" t="s">
        <v>900</v>
      </c>
      <c r="B298" s="5" t="s">
        <v>901</v>
      </c>
      <c r="C298" s="5" t="s">
        <v>902</v>
      </c>
      <c r="D298" s="63" t="s">
        <v>903</v>
      </c>
      <c r="E298" s="63"/>
      <c r="F298" s="63"/>
      <c r="G298" s="63"/>
      <c r="H298" s="63"/>
      <c r="I298" s="63"/>
      <c r="J298" s="63"/>
      <c r="K298" s="20">
        <v>1</v>
      </c>
      <c r="L298" s="21">
        <f>ROUND(28.39,2)</f>
        <v>28.39</v>
      </c>
      <c r="M298" s="21">
        <f t="shared" si="10"/>
        <v>28.39</v>
      </c>
    </row>
    <row r="299" spans="1:13" ht="15.4" customHeight="1" thickBot="1" x14ac:dyDescent="0.25">
      <c r="A299" s="34"/>
      <c r="B299" s="34"/>
      <c r="C299" s="34"/>
      <c r="D299" s="35" t="s">
        <v>904</v>
      </c>
      <c r="E299" s="34"/>
      <c r="F299" s="34"/>
      <c r="G299" s="34"/>
      <c r="H299" s="34"/>
      <c r="I299" s="34"/>
      <c r="J299" s="34"/>
      <c r="K299" s="36">
        <v>11</v>
      </c>
      <c r="L299" s="37">
        <f>ROUND((M293+M294+M295+M296+M297+M298)*(1+M2/100),2)</f>
        <v>638.04999999999995</v>
      </c>
      <c r="M299" s="37">
        <f t="shared" si="10"/>
        <v>7018.55</v>
      </c>
    </row>
    <row r="300" spans="1:13" ht="15.4" customHeight="1" thickBot="1" x14ac:dyDescent="0.25">
      <c r="A300" s="38" t="s">
        <v>905</v>
      </c>
      <c r="B300" s="39" t="s">
        <v>906</v>
      </c>
      <c r="C300" s="39" t="s">
        <v>907</v>
      </c>
      <c r="D300" s="64" t="s">
        <v>908</v>
      </c>
      <c r="E300" s="64"/>
      <c r="F300" s="64"/>
      <c r="G300" s="64"/>
      <c r="H300" s="64"/>
      <c r="I300" s="64"/>
      <c r="J300" s="64"/>
      <c r="K300" s="40">
        <f>ROUND(11,2)</f>
        <v>11</v>
      </c>
      <c r="L300" s="41">
        <f>ROUND(24.19*(1+M2/100),2)</f>
        <v>25.4</v>
      </c>
      <c r="M300" s="41">
        <f t="shared" si="10"/>
        <v>279.39999999999998</v>
      </c>
    </row>
    <row r="301" spans="1:13" ht="12" customHeight="1" thickBot="1" x14ac:dyDescent="0.25">
      <c r="A301" s="22"/>
      <c r="B301" s="22"/>
      <c r="C301" s="22"/>
      <c r="D301" s="63" t="s">
        <v>909</v>
      </c>
      <c r="E301" s="63"/>
      <c r="F301" s="63"/>
      <c r="G301" s="63"/>
      <c r="H301" s="63"/>
      <c r="I301" s="63"/>
      <c r="J301" s="63"/>
      <c r="K301" s="63"/>
      <c r="L301" s="63"/>
      <c r="M301" s="63"/>
    </row>
    <row r="302" spans="1:13" ht="15.4" customHeight="1" thickBot="1" x14ac:dyDescent="0.25">
      <c r="A302" s="34"/>
      <c r="B302" s="34"/>
      <c r="C302" s="34"/>
      <c r="D302" s="50" t="s">
        <v>910</v>
      </c>
      <c r="E302" s="51"/>
      <c r="F302" s="51"/>
      <c r="G302" s="51"/>
      <c r="H302" s="51"/>
      <c r="I302" s="51"/>
      <c r="J302" s="51"/>
      <c r="K302" s="51"/>
      <c r="L302" s="52">
        <f>M282+M289+M300</f>
        <v>7790.75</v>
      </c>
      <c r="M302" s="52">
        <f>ROUND(L302,2)</f>
        <v>7790.75</v>
      </c>
    </row>
    <row r="303" spans="1:13" ht="15.4" customHeight="1" thickBot="1" x14ac:dyDescent="0.25">
      <c r="A303" s="47" t="s">
        <v>911</v>
      </c>
      <c r="B303" s="47" t="s">
        <v>912</v>
      </c>
      <c r="C303" s="48"/>
      <c r="D303" s="65" t="s">
        <v>913</v>
      </c>
      <c r="E303" s="65"/>
      <c r="F303" s="65"/>
      <c r="G303" s="65"/>
      <c r="H303" s="65"/>
      <c r="I303" s="65"/>
      <c r="J303" s="65"/>
      <c r="K303" s="48"/>
      <c r="L303" s="49">
        <f>L318</f>
        <v>515.96</v>
      </c>
      <c r="M303" s="49">
        <f>ROUND(L303,2)</f>
        <v>515.96</v>
      </c>
    </row>
    <row r="304" spans="1:13" ht="15.4" customHeight="1" thickBot="1" x14ac:dyDescent="0.25">
      <c r="A304" s="10" t="s">
        <v>914</v>
      </c>
      <c r="B304" s="5" t="s">
        <v>915</v>
      </c>
      <c r="C304" s="5" t="s">
        <v>916</v>
      </c>
      <c r="D304" s="63" t="s">
        <v>917</v>
      </c>
      <c r="E304" s="63"/>
      <c r="F304" s="63"/>
      <c r="G304" s="63"/>
      <c r="H304" s="63"/>
      <c r="I304" s="63"/>
      <c r="J304" s="63"/>
      <c r="K304" s="20">
        <f>ROUND(3,2)</f>
        <v>3</v>
      </c>
      <c r="L304" s="21">
        <f>L309</f>
        <v>17.03</v>
      </c>
      <c r="M304" s="21">
        <f>ROUND(K304*L304,2)</f>
        <v>51.09</v>
      </c>
    </row>
    <row r="305" spans="1:13" ht="21.2" customHeight="1" thickBot="1" x14ac:dyDescent="0.25">
      <c r="A305" s="22"/>
      <c r="B305" s="22"/>
      <c r="C305" s="22"/>
      <c r="D305" s="63" t="s">
        <v>918</v>
      </c>
      <c r="E305" s="63"/>
      <c r="F305" s="63"/>
      <c r="G305" s="63"/>
      <c r="H305" s="63"/>
      <c r="I305" s="63"/>
      <c r="J305" s="63"/>
      <c r="K305" s="63"/>
      <c r="L305" s="63"/>
      <c r="M305" s="63"/>
    </row>
    <row r="306" spans="1:13" ht="15" customHeight="1" thickBot="1" x14ac:dyDescent="0.25">
      <c r="A306" s="5" t="s">
        <v>919</v>
      </c>
      <c r="B306" s="5" t="s">
        <v>920</v>
      </c>
      <c r="C306" s="5" t="s">
        <v>921</v>
      </c>
      <c r="D306" s="63" t="s">
        <v>922</v>
      </c>
      <c r="E306" s="63"/>
      <c r="F306" s="63"/>
      <c r="G306" s="63"/>
      <c r="H306" s="63"/>
      <c r="I306" s="63"/>
      <c r="J306" s="63"/>
      <c r="K306" s="20">
        <v>0.3</v>
      </c>
      <c r="L306" s="21">
        <f>ROUND(28.06,2)</f>
        <v>28.06</v>
      </c>
      <c r="M306" s="21">
        <f>ROUND(K306*L306,2)</f>
        <v>8.42</v>
      </c>
    </row>
    <row r="307" spans="1:13" ht="15" customHeight="1" thickBot="1" x14ac:dyDescent="0.25">
      <c r="A307" s="5" t="s">
        <v>923</v>
      </c>
      <c r="B307" s="5" t="s">
        <v>924</v>
      </c>
      <c r="C307" s="5" t="s">
        <v>925</v>
      </c>
      <c r="D307" s="63" t="s">
        <v>926</v>
      </c>
      <c r="E307" s="63"/>
      <c r="F307" s="63"/>
      <c r="G307" s="63"/>
      <c r="H307" s="63"/>
      <c r="I307" s="63"/>
      <c r="J307" s="63"/>
      <c r="K307" s="20">
        <v>0.3</v>
      </c>
      <c r="L307" s="21">
        <f>ROUND(24.92,2)</f>
        <v>24.92</v>
      </c>
      <c r="M307" s="21">
        <f>ROUND(K307*L307,2)</f>
        <v>7.48</v>
      </c>
    </row>
    <row r="308" spans="1:13" ht="15" customHeight="1" thickBot="1" x14ac:dyDescent="0.25">
      <c r="A308" s="5" t="s">
        <v>927</v>
      </c>
      <c r="B308" s="5"/>
      <c r="C308" s="5" t="s">
        <v>928</v>
      </c>
      <c r="D308" s="63" t="s">
        <v>929</v>
      </c>
      <c r="E308" s="63"/>
      <c r="F308" s="63"/>
      <c r="G308" s="63"/>
      <c r="H308" s="63"/>
      <c r="I308" s="63"/>
      <c r="J308" s="63"/>
      <c r="K308" s="20">
        <v>2</v>
      </c>
      <c r="L308" s="21">
        <f>ROUND(15.9,2)</f>
        <v>15.9</v>
      </c>
      <c r="M308" s="21">
        <f>ROUND((K308*L308)/100,2)</f>
        <v>0.32</v>
      </c>
    </row>
    <row r="309" spans="1:13" ht="15.4" customHeight="1" thickBot="1" x14ac:dyDescent="0.25">
      <c r="A309" s="34"/>
      <c r="B309" s="34"/>
      <c r="C309" s="34"/>
      <c r="D309" s="35" t="s">
        <v>930</v>
      </c>
      <c r="E309" s="34"/>
      <c r="F309" s="34"/>
      <c r="G309" s="34"/>
      <c r="H309" s="34"/>
      <c r="I309" s="34"/>
      <c r="J309" s="34"/>
      <c r="K309" s="36">
        <v>3</v>
      </c>
      <c r="L309" s="37">
        <f>ROUND((M306+M307+M308)*(1+M2/100),2)</f>
        <v>17.03</v>
      </c>
      <c r="M309" s="37">
        <f>ROUND(K309*L309,2)</f>
        <v>51.09</v>
      </c>
    </row>
    <row r="310" spans="1:13" ht="30.4" customHeight="1" thickBot="1" x14ac:dyDescent="0.25">
      <c r="A310" s="38" t="s">
        <v>931</v>
      </c>
      <c r="B310" s="39" t="s">
        <v>932</v>
      </c>
      <c r="C310" s="39" t="s">
        <v>933</v>
      </c>
      <c r="D310" s="64" t="s">
        <v>934</v>
      </c>
      <c r="E310" s="64"/>
      <c r="F310" s="64"/>
      <c r="G310" s="64"/>
      <c r="H310" s="64"/>
      <c r="I310" s="64"/>
      <c r="J310" s="64"/>
      <c r="K310" s="40">
        <f>ROUND(29,2)</f>
        <v>29</v>
      </c>
      <c r="L310" s="41">
        <f>L317</f>
        <v>16.03</v>
      </c>
      <c r="M310" s="41">
        <f>ROUND(K310*L310,2)</f>
        <v>464.87</v>
      </c>
    </row>
    <row r="311" spans="1:13" ht="48.75" customHeight="1" thickBot="1" x14ac:dyDescent="0.25">
      <c r="A311" s="22"/>
      <c r="B311" s="22"/>
      <c r="C311" s="22"/>
      <c r="D311" s="63" t="s">
        <v>935</v>
      </c>
      <c r="E311" s="63"/>
      <c r="F311" s="63"/>
      <c r="G311" s="63"/>
      <c r="H311" s="63"/>
      <c r="I311" s="63"/>
      <c r="J311" s="63"/>
      <c r="K311" s="63"/>
      <c r="L311" s="63"/>
      <c r="M311" s="63"/>
    </row>
    <row r="312" spans="1:13" ht="15" customHeight="1" thickBot="1" x14ac:dyDescent="0.25">
      <c r="A312" s="5" t="s">
        <v>936</v>
      </c>
      <c r="B312" s="5" t="s">
        <v>937</v>
      </c>
      <c r="C312" s="5" t="s">
        <v>938</v>
      </c>
      <c r="D312" s="63" t="s">
        <v>939</v>
      </c>
      <c r="E312" s="63"/>
      <c r="F312" s="63"/>
      <c r="G312" s="63"/>
      <c r="H312" s="63"/>
      <c r="I312" s="63"/>
      <c r="J312" s="63"/>
      <c r="K312" s="20">
        <v>0.28499999999999998</v>
      </c>
      <c r="L312" s="21">
        <f>ROUND(13.65,2)</f>
        <v>13.65</v>
      </c>
      <c r="M312" s="21">
        <f>ROUND(K312*L312,2)</f>
        <v>3.89</v>
      </c>
    </row>
    <row r="313" spans="1:13" ht="15" customHeight="1" thickBot="1" x14ac:dyDescent="0.25">
      <c r="A313" s="5" t="s">
        <v>940</v>
      </c>
      <c r="B313" s="5" t="s">
        <v>941</v>
      </c>
      <c r="C313" s="5" t="s">
        <v>942</v>
      </c>
      <c r="D313" s="63" t="s">
        <v>943</v>
      </c>
      <c r="E313" s="63"/>
      <c r="F313" s="63"/>
      <c r="G313" s="63"/>
      <c r="H313" s="63"/>
      <c r="I313" s="63"/>
      <c r="J313" s="63"/>
      <c r="K313" s="20">
        <v>0.17699999999999999</v>
      </c>
      <c r="L313" s="21">
        <f>ROUND(2.28,2)</f>
        <v>2.2799999999999998</v>
      </c>
      <c r="M313" s="21">
        <f>ROUND(K313*L313,2)</f>
        <v>0.4</v>
      </c>
    </row>
    <row r="314" spans="1:13" ht="15" customHeight="1" thickBot="1" x14ac:dyDescent="0.25">
      <c r="A314" s="5" t="s">
        <v>944</v>
      </c>
      <c r="B314" s="5" t="s">
        <v>945</v>
      </c>
      <c r="C314" s="5" t="s">
        <v>946</v>
      </c>
      <c r="D314" s="63" t="s">
        <v>947</v>
      </c>
      <c r="E314" s="63"/>
      <c r="F314" s="63"/>
      <c r="G314" s="63"/>
      <c r="H314" s="63"/>
      <c r="I314" s="63"/>
      <c r="J314" s="63"/>
      <c r="K314" s="20">
        <v>7.0000000000000007E-2</v>
      </c>
      <c r="L314" s="21">
        <f>ROUND(28.06,2)</f>
        <v>28.06</v>
      </c>
      <c r="M314" s="21">
        <f>ROUND(K314*L314,2)</f>
        <v>1.96</v>
      </c>
    </row>
    <row r="315" spans="1:13" ht="15" customHeight="1" thickBot="1" x14ac:dyDescent="0.25">
      <c r="A315" s="5" t="s">
        <v>948</v>
      </c>
      <c r="B315" s="5" t="s">
        <v>949</v>
      </c>
      <c r="C315" s="5" t="s">
        <v>950</v>
      </c>
      <c r="D315" s="63" t="s">
        <v>951</v>
      </c>
      <c r="E315" s="63"/>
      <c r="F315" s="63"/>
      <c r="G315" s="63"/>
      <c r="H315" s="63"/>
      <c r="I315" s="63"/>
      <c r="J315" s="63"/>
      <c r="K315" s="20">
        <v>0.35</v>
      </c>
      <c r="L315" s="21">
        <f>ROUND(24.92,2)</f>
        <v>24.92</v>
      </c>
      <c r="M315" s="21">
        <f>ROUND(K315*L315,2)</f>
        <v>8.7200000000000006</v>
      </c>
    </row>
    <row r="316" spans="1:13" ht="15" customHeight="1" thickBot="1" x14ac:dyDescent="0.25">
      <c r="A316" s="5" t="s">
        <v>952</v>
      </c>
      <c r="B316" s="5"/>
      <c r="C316" s="5" t="s">
        <v>953</v>
      </c>
      <c r="D316" s="63" t="s">
        <v>954</v>
      </c>
      <c r="E316" s="63"/>
      <c r="F316" s="63"/>
      <c r="G316" s="63"/>
      <c r="H316" s="63"/>
      <c r="I316" s="63"/>
      <c r="J316" s="63"/>
      <c r="K316" s="20">
        <v>2</v>
      </c>
      <c r="L316" s="21">
        <f>ROUND(14.97,2)</f>
        <v>14.97</v>
      </c>
      <c r="M316" s="21">
        <f>ROUND((K316*L316)/100,2)</f>
        <v>0.3</v>
      </c>
    </row>
    <row r="317" spans="1:13" ht="15.4" customHeight="1" thickBot="1" x14ac:dyDescent="0.25">
      <c r="A317" s="34"/>
      <c r="B317" s="34"/>
      <c r="C317" s="34"/>
      <c r="D317" s="35" t="s">
        <v>955</v>
      </c>
      <c r="E317" s="34"/>
      <c r="F317" s="34"/>
      <c r="G317" s="34"/>
      <c r="H317" s="34"/>
      <c r="I317" s="34"/>
      <c r="J317" s="34"/>
      <c r="K317" s="36">
        <v>29</v>
      </c>
      <c r="L317" s="37">
        <f>ROUND((M312+M313+M314+M315+M316)*(1+M2/100),2)</f>
        <v>16.03</v>
      </c>
      <c r="M317" s="37">
        <f>ROUND(K317*L317,2)</f>
        <v>464.87</v>
      </c>
    </row>
    <row r="318" spans="1:13" ht="15.4" customHeight="1" thickBot="1" x14ac:dyDescent="0.25">
      <c r="A318" s="43"/>
      <c r="B318" s="43"/>
      <c r="C318" s="43"/>
      <c r="D318" s="44" t="s">
        <v>956</v>
      </c>
      <c r="E318" s="45"/>
      <c r="F318" s="45"/>
      <c r="G318" s="45"/>
      <c r="H318" s="45"/>
      <c r="I318" s="45"/>
      <c r="J318" s="45"/>
      <c r="K318" s="45"/>
      <c r="L318" s="46">
        <f>M304+M310</f>
        <v>515.96</v>
      </c>
      <c r="M318" s="46">
        <f>ROUND(L318,2)</f>
        <v>515.96</v>
      </c>
    </row>
    <row r="319" spans="1:13" ht="15.4" customHeight="1" thickBot="1" x14ac:dyDescent="0.25">
      <c r="A319" s="47" t="s">
        <v>957</v>
      </c>
      <c r="B319" s="47" t="s">
        <v>958</v>
      </c>
      <c r="C319" s="48"/>
      <c r="D319" s="65" t="s">
        <v>959</v>
      </c>
      <c r="E319" s="65"/>
      <c r="F319" s="65"/>
      <c r="G319" s="65"/>
      <c r="H319" s="65"/>
      <c r="I319" s="65"/>
      <c r="J319" s="65"/>
      <c r="K319" s="48"/>
      <c r="L319" s="49">
        <f>L330</f>
        <v>3693.9799999999996</v>
      </c>
      <c r="M319" s="49">
        <f>ROUND(L319,2)</f>
        <v>3693.98</v>
      </c>
    </row>
    <row r="320" spans="1:13" ht="21.2" customHeight="1" thickBot="1" x14ac:dyDescent="0.25">
      <c r="A320" s="10" t="s">
        <v>960</v>
      </c>
      <c r="B320" s="5" t="s">
        <v>961</v>
      </c>
      <c r="C320" s="5" t="s">
        <v>962</v>
      </c>
      <c r="D320" s="63" t="s">
        <v>963</v>
      </c>
      <c r="E320" s="63"/>
      <c r="F320" s="63"/>
      <c r="G320" s="63"/>
      <c r="H320" s="63"/>
      <c r="I320" s="63"/>
      <c r="J320" s="63"/>
      <c r="K320" s="20">
        <f>ROUND(1,2)</f>
        <v>1</v>
      </c>
      <c r="L320" s="21">
        <f>ROUND(600*(1+M2/100),2)</f>
        <v>630</v>
      </c>
      <c r="M320" s="21">
        <f>ROUND(K320*L320,2)</f>
        <v>630</v>
      </c>
    </row>
    <row r="321" spans="1:13" ht="12" customHeight="1" thickBot="1" x14ac:dyDescent="0.25">
      <c r="A321" s="22"/>
      <c r="B321" s="22"/>
      <c r="C321" s="22"/>
      <c r="D321" s="63" t="s">
        <v>964</v>
      </c>
      <c r="E321" s="63"/>
      <c r="F321" s="63"/>
      <c r="G321" s="63"/>
      <c r="H321" s="63"/>
      <c r="I321" s="63"/>
      <c r="J321" s="63"/>
      <c r="K321" s="63"/>
      <c r="L321" s="63"/>
      <c r="M321" s="63"/>
    </row>
    <row r="322" spans="1:13" ht="21.2" customHeight="1" thickBot="1" x14ac:dyDescent="0.25">
      <c r="A322" s="10" t="s">
        <v>965</v>
      </c>
      <c r="B322" s="5" t="s">
        <v>966</v>
      </c>
      <c r="C322" s="5" t="s">
        <v>967</v>
      </c>
      <c r="D322" s="63" t="s">
        <v>968</v>
      </c>
      <c r="E322" s="63"/>
      <c r="F322" s="63"/>
      <c r="G322" s="63"/>
      <c r="H322" s="63"/>
      <c r="I322" s="63"/>
      <c r="J322" s="63"/>
      <c r="K322" s="20">
        <f>ROUND(1,2)</f>
        <v>1</v>
      </c>
      <c r="L322" s="21">
        <f>ROUND(1000*(1+M2/100),2)</f>
        <v>1050</v>
      </c>
      <c r="M322" s="21">
        <f>ROUND(K322*L322,2)</f>
        <v>1050</v>
      </c>
    </row>
    <row r="323" spans="1:13" ht="12" customHeight="1" thickBot="1" x14ac:dyDescent="0.25">
      <c r="A323" s="22"/>
      <c r="B323" s="22"/>
      <c r="C323" s="22"/>
      <c r="D323" s="63" t="s">
        <v>969</v>
      </c>
      <c r="E323" s="63"/>
      <c r="F323" s="63"/>
      <c r="G323" s="63"/>
      <c r="H323" s="63"/>
      <c r="I323" s="63"/>
      <c r="J323" s="63"/>
      <c r="K323" s="63"/>
      <c r="L323" s="63"/>
      <c r="M323" s="63"/>
    </row>
    <row r="324" spans="1:13" ht="15.4" customHeight="1" thickBot="1" x14ac:dyDescent="0.25">
      <c r="A324" s="10" t="s">
        <v>970</v>
      </c>
      <c r="B324" s="5" t="s">
        <v>971</v>
      </c>
      <c r="C324" s="5" t="s">
        <v>972</v>
      </c>
      <c r="D324" s="63" t="s">
        <v>973</v>
      </c>
      <c r="E324" s="63"/>
      <c r="F324" s="63"/>
      <c r="G324" s="63"/>
      <c r="H324" s="63"/>
      <c r="I324" s="63"/>
      <c r="J324" s="63"/>
      <c r="K324" s="20">
        <f>ROUND(1,2)</f>
        <v>1</v>
      </c>
      <c r="L324" s="21">
        <f>ROUND(454.28*(1+M2/100),2)</f>
        <v>476.99</v>
      </c>
      <c r="M324" s="21">
        <f>ROUND(K324*L324,2)</f>
        <v>476.99</v>
      </c>
    </row>
    <row r="325" spans="1:13" ht="12" customHeight="1" thickBot="1" x14ac:dyDescent="0.25">
      <c r="A325" s="22"/>
      <c r="B325" s="22"/>
      <c r="C325" s="22"/>
      <c r="D325" s="63" t="s">
        <v>974</v>
      </c>
      <c r="E325" s="63"/>
      <c r="F325" s="63"/>
      <c r="G325" s="63"/>
      <c r="H325" s="63"/>
      <c r="I325" s="63"/>
      <c r="J325" s="63"/>
      <c r="K325" s="63"/>
      <c r="L325" s="63"/>
      <c r="M325" s="63"/>
    </row>
    <row r="326" spans="1:13" ht="30.4" customHeight="1" thickBot="1" x14ac:dyDescent="0.25">
      <c r="A326" s="10" t="s">
        <v>975</v>
      </c>
      <c r="B326" s="5" t="s">
        <v>976</v>
      </c>
      <c r="C326" s="5" t="s">
        <v>977</v>
      </c>
      <c r="D326" s="63" t="s">
        <v>978</v>
      </c>
      <c r="E326" s="63"/>
      <c r="F326" s="63"/>
      <c r="G326" s="63"/>
      <c r="H326" s="63"/>
      <c r="I326" s="63"/>
      <c r="J326" s="63"/>
      <c r="K326" s="20">
        <f>ROUND(1,2)</f>
        <v>1</v>
      </c>
      <c r="L326" s="21">
        <f>ROUND(656.19*(1+M2/100),2)</f>
        <v>689</v>
      </c>
      <c r="M326" s="21">
        <f>ROUND(K326*L326,2)</f>
        <v>689</v>
      </c>
    </row>
    <row r="327" spans="1:13" ht="39.6" customHeight="1" thickBot="1" x14ac:dyDescent="0.25">
      <c r="A327" s="22"/>
      <c r="B327" s="22"/>
      <c r="C327" s="22"/>
      <c r="D327" s="63" t="s">
        <v>979</v>
      </c>
      <c r="E327" s="63"/>
      <c r="F327" s="63"/>
      <c r="G327" s="63"/>
      <c r="H327" s="63"/>
      <c r="I327" s="63"/>
      <c r="J327" s="63"/>
      <c r="K327" s="63"/>
      <c r="L327" s="63"/>
      <c r="M327" s="63"/>
    </row>
    <row r="328" spans="1:13" ht="15.4" customHeight="1" thickBot="1" x14ac:dyDescent="0.25">
      <c r="A328" s="10" t="s">
        <v>980</v>
      </c>
      <c r="B328" s="5" t="s">
        <v>981</v>
      </c>
      <c r="C328" s="5" t="s">
        <v>982</v>
      </c>
      <c r="D328" s="63" t="s">
        <v>983</v>
      </c>
      <c r="E328" s="63"/>
      <c r="F328" s="63"/>
      <c r="G328" s="63"/>
      <c r="H328" s="63"/>
      <c r="I328" s="63"/>
      <c r="J328" s="63"/>
      <c r="K328" s="20">
        <f>ROUND(1,2)</f>
        <v>1</v>
      </c>
      <c r="L328" s="21">
        <f>ROUND(807.61*(1+M2/100),2)</f>
        <v>847.99</v>
      </c>
      <c r="M328" s="21">
        <f>ROUND(K328*L328,2)</f>
        <v>847.99</v>
      </c>
    </row>
    <row r="329" spans="1:13" ht="12" customHeight="1" thickBot="1" x14ac:dyDescent="0.25">
      <c r="A329" s="22"/>
      <c r="B329" s="22"/>
      <c r="C329" s="22"/>
      <c r="D329" s="63" t="s">
        <v>984</v>
      </c>
      <c r="E329" s="63"/>
      <c r="F329" s="63"/>
      <c r="G329" s="63"/>
      <c r="H329" s="63"/>
      <c r="I329" s="63"/>
      <c r="J329" s="63"/>
      <c r="K329" s="63"/>
      <c r="L329" s="63"/>
      <c r="M329" s="63"/>
    </row>
    <row r="330" spans="1:13" ht="15.4" customHeight="1" thickBot="1" x14ac:dyDescent="0.25">
      <c r="A330" s="34"/>
      <c r="B330" s="34"/>
      <c r="C330" s="34"/>
      <c r="D330" s="50" t="s">
        <v>985</v>
      </c>
      <c r="E330" s="51"/>
      <c r="F330" s="51"/>
      <c r="G330" s="51"/>
      <c r="H330" s="51"/>
      <c r="I330" s="51"/>
      <c r="J330" s="51"/>
      <c r="K330" s="51"/>
      <c r="L330" s="52">
        <f>M320+M322+M324+M326+M328</f>
        <v>3693.9799999999996</v>
      </c>
      <c r="M330" s="52">
        <f>ROUND(L330,2)</f>
        <v>3693.98</v>
      </c>
    </row>
    <row r="331" spans="1:13" ht="15.4" customHeight="1" thickBot="1" x14ac:dyDescent="0.25">
      <c r="A331" s="43"/>
      <c r="B331" s="43"/>
      <c r="C331" s="43"/>
      <c r="D331" s="53" t="s">
        <v>986</v>
      </c>
      <c r="E331" s="54"/>
      <c r="F331" s="54"/>
      <c r="G331" s="54"/>
      <c r="H331" s="54"/>
      <c r="I331" s="54"/>
      <c r="J331" s="54"/>
      <c r="K331" s="54"/>
      <c r="L331" s="55">
        <f>M52+M189+M280+M302+M318+M330</f>
        <v>48358.600000000006</v>
      </c>
      <c r="M331" s="55">
        <f>ROUND(L331,2)</f>
        <v>48358.6</v>
      </c>
    </row>
    <row r="332" spans="1:13" ht="24.75" customHeight="1" thickBot="1" x14ac:dyDescent="0.25">
      <c r="A332" s="43"/>
      <c r="B332" s="43"/>
      <c r="C332" s="43"/>
      <c r="D332" s="56" t="s">
        <v>987</v>
      </c>
      <c r="E332" s="57"/>
      <c r="F332" s="57"/>
      <c r="G332" s="57"/>
      <c r="H332" s="57"/>
      <c r="I332" s="57"/>
      <c r="J332" s="57"/>
      <c r="K332" s="57"/>
      <c r="L332" s="58">
        <f>M331</f>
        <v>48358.6</v>
      </c>
      <c r="M332" s="58">
        <f>ROUND(L332,2)</f>
        <v>48358.6</v>
      </c>
    </row>
  </sheetData>
  <mergeCells count="241">
    <mergeCell ref="D323:M323"/>
    <mergeCell ref="D324:J324"/>
    <mergeCell ref="D325:M325"/>
    <mergeCell ref="D326:J326"/>
    <mergeCell ref="D327:M327"/>
    <mergeCell ref="D328:J328"/>
    <mergeCell ref="D329:M329"/>
    <mergeCell ref="D312:J312"/>
    <mergeCell ref="D313:J313"/>
    <mergeCell ref="D314:J314"/>
    <mergeCell ref="D315:J315"/>
    <mergeCell ref="D316:J316"/>
    <mergeCell ref="D319:J319"/>
    <mergeCell ref="D320:J320"/>
    <mergeCell ref="D321:M321"/>
    <mergeCell ref="D322:J322"/>
    <mergeCell ref="D301:M301"/>
    <mergeCell ref="D303:J303"/>
    <mergeCell ref="D304:J304"/>
    <mergeCell ref="D305:M305"/>
    <mergeCell ref="D306:J306"/>
    <mergeCell ref="D307:J307"/>
    <mergeCell ref="D308:J308"/>
    <mergeCell ref="D310:J310"/>
    <mergeCell ref="D311:M311"/>
    <mergeCell ref="D289:J289"/>
    <mergeCell ref="D290:M290"/>
    <mergeCell ref="D293:J293"/>
    <mergeCell ref="D294:J294"/>
    <mergeCell ref="D295:J295"/>
    <mergeCell ref="D296:J296"/>
    <mergeCell ref="D297:J297"/>
    <mergeCell ref="D298:J298"/>
    <mergeCell ref="D300:J300"/>
    <mergeCell ref="D277:J277"/>
    <mergeCell ref="D278:J278"/>
    <mergeCell ref="D281:J281"/>
    <mergeCell ref="D282:J282"/>
    <mergeCell ref="D283:M283"/>
    <mergeCell ref="D284:J284"/>
    <mergeCell ref="D285:J285"/>
    <mergeCell ref="D286:J286"/>
    <mergeCell ref="D287:J287"/>
    <mergeCell ref="D264:J264"/>
    <mergeCell ref="D266:J266"/>
    <mergeCell ref="D267:M267"/>
    <mergeCell ref="D268:J268"/>
    <mergeCell ref="D269:J269"/>
    <mergeCell ref="D270:J270"/>
    <mergeCell ref="D272:J272"/>
    <mergeCell ref="D273:M273"/>
    <mergeCell ref="D276:J276"/>
    <mergeCell ref="D254:J254"/>
    <mergeCell ref="D255:M255"/>
    <mergeCell ref="D256:J256"/>
    <mergeCell ref="D257:J257"/>
    <mergeCell ref="D258:J258"/>
    <mergeCell ref="D260:J260"/>
    <mergeCell ref="D261:M261"/>
    <mergeCell ref="D262:J262"/>
    <mergeCell ref="D263:J263"/>
    <mergeCell ref="D243:M243"/>
    <mergeCell ref="D244:J244"/>
    <mergeCell ref="D245:J245"/>
    <mergeCell ref="D246:J246"/>
    <mergeCell ref="D248:J248"/>
    <mergeCell ref="D249:M249"/>
    <mergeCell ref="D250:J250"/>
    <mergeCell ref="D251:J251"/>
    <mergeCell ref="D252:J252"/>
    <mergeCell ref="D232:J232"/>
    <mergeCell ref="D233:J233"/>
    <mergeCell ref="D234:J234"/>
    <mergeCell ref="D236:J236"/>
    <mergeCell ref="D237:M237"/>
    <mergeCell ref="D238:J238"/>
    <mergeCell ref="D239:J239"/>
    <mergeCell ref="D240:J240"/>
    <mergeCell ref="D242:J242"/>
    <mergeCell ref="D218:J218"/>
    <mergeCell ref="D219:M219"/>
    <mergeCell ref="D222:J222"/>
    <mergeCell ref="D223:J223"/>
    <mergeCell ref="D224:J224"/>
    <mergeCell ref="D225:J225"/>
    <mergeCell ref="D227:J227"/>
    <mergeCell ref="D228:M228"/>
    <mergeCell ref="D231:J231"/>
    <mergeCell ref="D208:J208"/>
    <mergeCell ref="D209:J209"/>
    <mergeCell ref="D210:J210"/>
    <mergeCell ref="D211:J211"/>
    <mergeCell ref="D212:J212"/>
    <mergeCell ref="D213:J213"/>
    <mergeCell ref="D214:J214"/>
    <mergeCell ref="D215:J215"/>
    <mergeCell ref="D216:J216"/>
    <mergeCell ref="D194:M194"/>
    <mergeCell ref="D197:J197"/>
    <mergeCell ref="D198:J198"/>
    <mergeCell ref="D199:J199"/>
    <mergeCell ref="D200:J200"/>
    <mergeCell ref="D202:J202"/>
    <mergeCell ref="D203:M203"/>
    <mergeCell ref="D206:J206"/>
    <mergeCell ref="D207:J207"/>
    <mergeCell ref="D182:J182"/>
    <mergeCell ref="D184:J184"/>
    <mergeCell ref="D185:M185"/>
    <mergeCell ref="D186:J186"/>
    <mergeCell ref="D187:J187"/>
    <mergeCell ref="D190:J190"/>
    <mergeCell ref="D191:J191"/>
    <mergeCell ref="D192:M192"/>
    <mergeCell ref="D193:J193"/>
    <mergeCell ref="D171:J171"/>
    <mergeCell ref="D172:J172"/>
    <mergeCell ref="D174:J174"/>
    <mergeCell ref="D175:M175"/>
    <mergeCell ref="D176:J176"/>
    <mergeCell ref="D177:J177"/>
    <mergeCell ref="D179:J179"/>
    <mergeCell ref="D180:M180"/>
    <mergeCell ref="D181:J181"/>
    <mergeCell ref="D162:J162"/>
    <mergeCell ref="D163:J163"/>
    <mergeCell ref="D164:J164"/>
    <mergeCell ref="D165:J165"/>
    <mergeCell ref="D166:J166"/>
    <mergeCell ref="D167:J167"/>
    <mergeCell ref="D168:J168"/>
    <mergeCell ref="D169:J169"/>
    <mergeCell ref="D170:J170"/>
    <mergeCell ref="D145:J145"/>
    <mergeCell ref="D146:J146"/>
    <mergeCell ref="D148:J148"/>
    <mergeCell ref="D149:M149"/>
    <mergeCell ref="D153:J153"/>
    <mergeCell ref="D154:J154"/>
    <mergeCell ref="D155:J155"/>
    <mergeCell ref="D157:J157"/>
    <mergeCell ref="D158:M158"/>
    <mergeCell ref="D135:J135"/>
    <mergeCell ref="D136:J136"/>
    <mergeCell ref="D138:J138"/>
    <mergeCell ref="D139:M139"/>
    <mergeCell ref="D140:J140"/>
    <mergeCell ref="D141:J141"/>
    <mergeCell ref="D142:J142"/>
    <mergeCell ref="D143:J143"/>
    <mergeCell ref="D144:J144"/>
    <mergeCell ref="D123:J123"/>
    <mergeCell ref="D124:J124"/>
    <mergeCell ref="D126:J126"/>
    <mergeCell ref="D127:M127"/>
    <mergeCell ref="D130:J130"/>
    <mergeCell ref="D131:J131"/>
    <mergeCell ref="D132:J132"/>
    <mergeCell ref="D133:J133"/>
    <mergeCell ref="D134:J134"/>
    <mergeCell ref="D111:J111"/>
    <mergeCell ref="D112:J112"/>
    <mergeCell ref="D114:J114"/>
    <mergeCell ref="D115:M115"/>
    <mergeCell ref="D118:J118"/>
    <mergeCell ref="D119:J119"/>
    <mergeCell ref="D120:J120"/>
    <mergeCell ref="D121:J121"/>
    <mergeCell ref="D122:J122"/>
    <mergeCell ref="D98:M98"/>
    <mergeCell ref="D103:J103"/>
    <mergeCell ref="D104:J104"/>
    <mergeCell ref="D105:J105"/>
    <mergeCell ref="D106:J106"/>
    <mergeCell ref="D107:J107"/>
    <mergeCell ref="D108:J108"/>
    <mergeCell ref="D109:J109"/>
    <mergeCell ref="D110:J110"/>
    <mergeCell ref="D85:M85"/>
    <mergeCell ref="D89:J89"/>
    <mergeCell ref="D90:J90"/>
    <mergeCell ref="D91:J91"/>
    <mergeCell ref="D92:J92"/>
    <mergeCell ref="D93:J93"/>
    <mergeCell ref="D94:J94"/>
    <mergeCell ref="D95:J95"/>
    <mergeCell ref="D97:J97"/>
    <mergeCell ref="D69:M69"/>
    <mergeCell ref="D75:J75"/>
    <mergeCell ref="D76:J76"/>
    <mergeCell ref="D77:J77"/>
    <mergeCell ref="D79:J79"/>
    <mergeCell ref="D80:M80"/>
    <mergeCell ref="D81:J81"/>
    <mergeCell ref="D82:J82"/>
    <mergeCell ref="D84:J84"/>
    <mergeCell ref="D54:J54"/>
    <mergeCell ref="D55:M55"/>
    <mergeCell ref="D61:J61"/>
    <mergeCell ref="D62:J62"/>
    <mergeCell ref="D63:J63"/>
    <mergeCell ref="D64:J64"/>
    <mergeCell ref="D66:J66"/>
    <mergeCell ref="D67:M67"/>
    <mergeCell ref="D68:J68"/>
    <mergeCell ref="D38:J38"/>
    <mergeCell ref="D40:J40"/>
    <mergeCell ref="D41:M41"/>
    <mergeCell ref="D46:J46"/>
    <mergeCell ref="D47:J47"/>
    <mergeCell ref="D48:J48"/>
    <mergeCell ref="D49:J49"/>
    <mergeCell ref="D50:J50"/>
    <mergeCell ref="D53:J53"/>
    <mergeCell ref="D23:M23"/>
    <mergeCell ref="D29:J29"/>
    <mergeCell ref="D30:J30"/>
    <mergeCell ref="D31:J31"/>
    <mergeCell ref="D32:J32"/>
    <mergeCell ref="D34:J34"/>
    <mergeCell ref="D35:M35"/>
    <mergeCell ref="D36:J36"/>
    <mergeCell ref="D37:J37"/>
    <mergeCell ref="D11:J11"/>
    <mergeCell ref="D12:M12"/>
    <mergeCell ref="D15:J15"/>
    <mergeCell ref="D16:J16"/>
    <mergeCell ref="D17:J17"/>
    <mergeCell ref="D18:J18"/>
    <mergeCell ref="D19:J19"/>
    <mergeCell ref="D20:J20"/>
    <mergeCell ref="D22:J22"/>
    <mergeCell ref="B1:M1"/>
    <mergeCell ref="A2:C2"/>
    <mergeCell ref="D4:J4"/>
    <mergeCell ref="D5:J5"/>
    <mergeCell ref="D6:J6"/>
    <mergeCell ref="D7:J7"/>
    <mergeCell ref="D8:M8"/>
    <mergeCell ref="D9:J9"/>
    <mergeCell ref="D10:M10"/>
  </mergeCells>
  <pageMargins left="0.62007900000000005" right="0.472441" top="0.472441" bottom="0.472441" header="0" footer="0"/>
  <pageSetup paperSize="9" orientation="landscape" r:id="rId1"/>
  <rowBreaks count="2" manualBreakCount="2">
    <brk max="16383" man="1"/>
    <brk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Xavier Ros Salas</cp:lastModifiedBy>
  <dcterms:modified xsi:type="dcterms:W3CDTF">2023-06-02T11:16:43Z</dcterms:modified>
</cp:coreProperties>
</file>